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405" windowHeight="5295" activeTab="0"/>
  </bookViews>
  <sheets>
    <sheet name="核燃料サイクルコスト計算" sheetId="1" r:id="rId1"/>
  </sheets>
  <definedNames/>
  <calcPr fullCalcOnLoad="1"/>
</workbook>
</file>

<file path=xl/sharedStrings.xml><?xml version="1.0" encoding="utf-8"?>
<sst xmlns="http://schemas.openxmlformats.org/spreadsheetml/2006/main" count="224" uniqueCount="155">
  <si>
    <t>再処理</t>
  </si>
  <si>
    <t>中間貯蔵</t>
  </si>
  <si>
    <t>HLW貯蔵</t>
  </si>
  <si>
    <t>HLW輸送</t>
  </si>
  <si>
    <t>HLW処分</t>
  </si>
  <si>
    <t>億kwh</t>
  </si>
  <si>
    <t>熱効率</t>
  </si>
  <si>
    <t>西暦</t>
  </si>
  <si>
    <t>TRU貯蔵</t>
  </si>
  <si>
    <t>TRU地層処分</t>
  </si>
  <si>
    <t>合計</t>
  </si>
  <si>
    <t>基準年</t>
  </si>
  <si>
    <t>年度</t>
  </si>
  <si>
    <t>再処理向け輸送</t>
  </si>
  <si>
    <t>MOX計</t>
  </si>
  <si>
    <t>ウラン</t>
  </si>
  <si>
    <t>MOX加工</t>
  </si>
  <si>
    <t>ウラン燃料取得単価（円／トン）</t>
  </si>
  <si>
    <t>億kWh</t>
  </si>
  <si>
    <t>所内率</t>
  </si>
  <si>
    <t>貯蔵後輸送</t>
  </si>
  <si>
    <t>貯蔵向け輸送単価（円/トン）</t>
  </si>
  <si>
    <t>再処理向け輸送単価（円/トン）</t>
  </si>
  <si>
    <t>ウラン取得額</t>
  </si>
  <si>
    <t>再処理デコミ</t>
  </si>
  <si>
    <t>MOX加工単価（円/トン)</t>
  </si>
  <si>
    <t>HLW貯蔵単価(円/トン/年）</t>
  </si>
  <si>
    <t>HLW搬出輸送</t>
  </si>
  <si>
    <t>HLW輸送単価（円/トン）</t>
  </si>
  <si>
    <t>TRU処理単価(円/トン）</t>
  </si>
  <si>
    <t>TRU処理</t>
  </si>
  <si>
    <t>円/kWh</t>
  </si>
  <si>
    <t>TRU地層処分単価（円/トン）</t>
  </si>
  <si>
    <t>地層以外TRU処分単価(円/トン)</t>
  </si>
  <si>
    <t>　中間貯蔵向け輸送</t>
  </si>
  <si>
    <t>発電量</t>
  </si>
  <si>
    <t>地層以外のTRU処分</t>
  </si>
  <si>
    <t>SF輸送to再処理</t>
  </si>
  <si>
    <t>SF輸送to貯蔵</t>
  </si>
  <si>
    <t>再処理デコミ</t>
  </si>
  <si>
    <t>TRU他処分</t>
  </si>
  <si>
    <t>割引率（％）</t>
  </si>
  <si>
    <t>再処理デコミ単価（円/トン）</t>
  </si>
  <si>
    <t>SF中間貯蔵単価（円/トン/年）</t>
  </si>
  <si>
    <t>（年度初め）</t>
  </si>
  <si>
    <t>燃料サイクルコスト</t>
  </si>
  <si>
    <t>　フロント合計</t>
  </si>
  <si>
    <t>サイクルコスト合計</t>
  </si>
  <si>
    <t>TRU貯蔵単価(円/トン/年）</t>
  </si>
  <si>
    <t>MOX</t>
  </si>
  <si>
    <t>トン</t>
  </si>
  <si>
    <t>MOX(1)</t>
  </si>
  <si>
    <t>MOX(2)</t>
  </si>
  <si>
    <t>ウラン</t>
  </si>
  <si>
    <t>次世代再生率</t>
  </si>
  <si>
    <t>MOX(3)</t>
  </si>
  <si>
    <t>輸送目標</t>
  </si>
  <si>
    <t>MOX(1a)</t>
  </si>
  <si>
    <t>MOX(2a)</t>
  </si>
  <si>
    <t>MOX(3a)</t>
  </si>
  <si>
    <t>MOX(1b)</t>
  </si>
  <si>
    <t>MOX(2b)</t>
  </si>
  <si>
    <t>MOX(3b)</t>
  </si>
  <si>
    <t>MOX(1b)</t>
  </si>
  <si>
    <t>MOX(2b)</t>
  </si>
  <si>
    <t>MOX(3b)</t>
  </si>
  <si>
    <t>MOX加工（製品量）</t>
  </si>
  <si>
    <t>MOX(1a)</t>
  </si>
  <si>
    <t>MOX(1b)</t>
  </si>
  <si>
    <t>MOX(2a)</t>
  </si>
  <si>
    <t>MOX(2b)</t>
  </si>
  <si>
    <t>MOX(3a)</t>
  </si>
  <si>
    <t>MOX(3b)</t>
  </si>
  <si>
    <t>U(a)</t>
  </si>
  <si>
    <t>U(b)</t>
  </si>
  <si>
    <t>MOX(4a)</t>
  </si>
  <si>
    <t>MOX(4b)</t>
  </si>
  <si>
    <t>U+M</t>
  </si>
  <si>
    <t>貯蔵要</t>
  </si>
  <si>
    <t>貯蔵不要</t>
  </si>
  <si>
    <t>対象計</t>
  </si>
  <si>
    <t>搬入トン</t>
  </si>
  <si>
    <t>再処理操業単価(円/トン)</t>
  </si>
  <si>
    <t>貯蔵後搬出輸送</t>
  </si>
  <si>
    <t>U(b)</t>
  </si>
  <si>
    <t>直接処分</t>
  </si>
  <si>
    <t>炉装荷中kWh割引係数</t>
  </si>
  <si>
    <t>U</t>
  </si>
  <si>
    <t>MOX</t>
  </si>
  <si>
    <t>SF発生時点での分類</t>
  </si>
  <si>
    <t>送電量</t>
  </si>
  <si>
    <t>第二再処理容量</t>
  </si>
  <si>
    <t>同上操業開始年度</t>
  </si>
  <si>
    <t>即時(計)</t>
  </si>
  <si>
    <t>遅延(計)</t>
  </si>
  <si>
    <t>貯蔵向け輸送</t>
  </si>
  <si>
    <t>SF処分</t>
  </si>
  <si>
    <t>U-ＳＦ直接処分単価（円/トン）</t>
  </si>
  <si>
    <t>HLW</t>
  </si>
  <si>
    <t>TRU</t>
  </si>
  <si>
    <t>　バックエンド合計</t>
  </si>
  <si>
    <t>軟岩-１</t>
  </si>
  <si>
    <t>軟岩-２</t>
  </si>
  <si>
    <t>軟岩-３</t>
  </si>
  <si>
    <t>硬岩-１</t>
  </si>
  <si>
    <t>硬岩-３</t>
  </si>
  <si>
    <t>軟岩-補１</t>
  </si>
  <si>
    <t>軟岩-補２</t>
  </si>
  <si>
    <t>硬岩-補１</t>
  </si>
  <si>
    <t>第二再処理単価</t>
  </si>
  <si>
    <t>倍</t>
  </si>
  <si>
    <t>計算結果まとめ</t>
  </si>
  <si>
    <t>割引率</t>
  </si>
  <si>
    <t>全合計</t>
  </si>
  <si>
    <t>取出燃料</t>
  </si>
  <si>
    <t>直接処分量</t>
  </si>
  <si>
    <t>再処理量</t>
  </si>
  <si>
    <t>処理単価（万円/トン）</t>
  </si>
  <si>
    <t>TRU処理・貯蔵</t>
  </si>
  <si>
    <r>
      <t>軟岩-１（縦、</t>
    </r>
    <r>
      <rPr>
        <sz val="11"/>
        <rFont val="ＭＳ Ｐゴシック"/>
        <family val="3"/>
      </rPr>
      <t>２体）</t>
    </r>
  </si>
  <si>
    <t>軟岩-２（縦、４体）</t>
  </si>
  <si>
    <t>軟岩-３（縦、２体、２サイト）</t>
  </si>
  <si>
    <t>硬岩-１（縦、２体）</t>
  </si>
  <si>
    <t>硬岩-３（縦、２体、２サイト）</t>
  </si>
  <si>
    <t>硬岩-補１（横、２体）</t>
  </si>
  <si>
    <t>1＝</t>
  </si>
  <si>
    <t>2＝</t>
  </si>
  <si>
    <t>3＝</t>
  </si>
  <si>
    <t>4＝</t>
  </si>
  <si>
    <t>5＝</t>
  </si>
  <si>
    <t>6＝</t>
  </si>
  <si>
    <t>7＝</t>
  </si>
  <si>
    <t>8＝</t>
  </si>
  <si>
    <t>HLW処分単価（円/kWh)</t>
  </si>
  <si>
    <t>（送電端）</t>
  </si>
  <si>
    <t>取出燃焼度</t>
  </si>
  <si>
    <t>（MWd/t）</t>
  </si>
  <si>
    <t>（MWd/t）</t>
  </si>
  <si>
    <t>（ウラン燃料を基準）</t>
  </si>
  <si>
    <t>MOX直接処分単価</t>
  </si>
  <si>
    <t>軟岩-補２（横、４体）</t>
  </si>
  <si>
    <t>軟岩-補１（横、２体）</t>
  </si>
  <si>
    <t>直接処分場設計のケース番号</t>
  </si>
  <si>
    <t>この列より左</t>
  </si>
  <si>
    <t>物量計算</t>
  </si>
  <si>
    <t>この列より右</t>
  </si>
  <si>
    <t>費用計算</t>
  </si>
  <si>
    <t>トン/年</t>
  </si>
  <si>
    <t>U合計</t>
  </si>
  <si>
    <t>割引率（0.01～0.03）</t>
  </si>
  <si>
    <t>コスト</t>
  </si>
  <si>
    <t>コスト：U</t>
  </si>
  <si>
    <t>コスト：M</t>
  </si>
  <si>
    <t>第一再処理容量</t>
  </si>
  <si>
    <t>（第一を基準）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</si>
</sst>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00;[Red]\-#,##0.000"/>
    <numFmt numFmtId="182" formatCode="#,##0.00_ ;[Red]\-#,##0.00\ "/>
    <numFmt numFmtId="183" formatCode="0_ "/>
    <numFmt numFmtId="184" formatCode="0_);[Red]\(0\)"/>
    <numFmt numFmtId="185" formatCode="#,##0_ ;[Red]\-#,##0\ "/>
    <numFmt numFmtId="186" formatCode="0_ ;[Red]\-0\ "/>
    <numFmt numFmtId="187" formatCode="0.000000_ ;[Red]\-0.000000\ "/>
    <numFmt numFmtId="188" formatCode="0.0000_ ;[Red]\-0.0000\ "/>
    <numFmt numFmtId="189" formatCode="0.0000_ "/>
    <numFmt numFmtId="190" formatCode="0.00000_);[Red]\(0.00000\)"/>
    <numFmt numFmtId="191" formatCode="0.0000_);[Red]\(0.0000\)"/>
    <numFmt numFmtId="192" formatCode="0.00_ "/>
    <numFmt numFmtId="193" formatCode="0.000000_ "/>
    <numFmt numFmtId="194" formatCode="0.00000_ ;[Red]\-0.00000\ "/>
    <numFmt numFmtId="195" formatCode="0.000_ ;[Red]\-0.000\ "/>
    <numFmt numFmtId="196" formatCode="0.00_);[Red]\(0.00\)"/>
    <numFmt numFmtId="197" formatCode="0.0000000_);[Red]\(0.0000000\)"/>
    <numFmt numFmtId="198" formatCode="#,##0_ "/>
    <numFmt numFmtId="199" formatCode="0.0_ "/>
    <numFmt numFmtId="200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i/>
      <sz val="12"/>
      <name val="ＭＳ Ｐゴシック"/>
      <family val="3"/>
    </font>
    <font>
      <i/>
      <sz val="12"/>
      <name val="ＭＳ Ｐゴシック"/>
      <family val="3"/>
    </font>
    <font>
      <b/>
      <i/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186" fontId="4" fillId="0" borderId="0" xfId="0" applyNumberFormat="1" applyFont="1" applyAlignment="1">
      <alignment vertical="center"/>
    </xf>
    <xf numFmtId="186" fontId="4" fillId="0" borderId="0" xfId="17" applyNumberFormat="1" applyFont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0" xfId="17" applyNumberFormat="1" applyFont="1" applyBorder="1" applyAlignment="1">
      <alignment vertical="center"/>
    </xf>
    <xf numFmtId="186" fontId="4" fillId="0" borderId="1" xfId="0" applyNumberFormat="1" applyFont="1" applyBorder="1" applyAlignment="1">
      <alignment vertical="center"/>
    </xf>
    <xf numFmtId="186" fontId="4" fillId="0" borderId="0" xfId="0" applyNumberFormat="1" applyFont="1" applyAlignment="1">
      <alignment horizontal="right" vertical="center"/>
    </xf>
    <xf numFmtId="186" fontId="5" fillId="0" borderId="0" xfId="17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86" fontId="4" fillId="0" borderId="0" xfId="0" applyNumberFormat="1" applyFont="1" applyAlignment="1">
      <alignment horizontal="center" vertical="center"/>
    </xf>
    <xf numFmtId="186" fontId="4" fillId="0" borderId="0" xfId="17" applyNumberFormat="1" applyFont="1" applyAlignment="1">
      <alignment horizontal="center" vertical="center"/>
    </xf>
    <xf numFmtId="186" fontId="4" fillId="0" borderId="0" xfId="17" applyNumberFormat="1" applyFont="1" applyFill="1" applyBorder="1" applyAlignment="1">
      <alignment vertical="center"/>
    </xf>
    <xf numFmtId="186" fontId="4" fillId="0" borderId="0" xfId="17" applyNumberFormat="1" applyFont="1" applyAlignment="1">
      <alignment horizontal="right" vertical="center"/>
    </xf>
    <xf numFmtId="186" fontId="6" fillId="0" borderId="0" xfId="0" applyNumberFormat="1" applyFont="1" applyAlignment="1">
      <alignment vertical="center"/>
    </xf>
    <xf numFmtId="186" fontId="4" fillId="0" borderId="0" xfId="17" applyNumberFormat="1" applyFont="1" applyFill="1" applyAlignment="1">
      <alignment vertical="center"/>
    </xf>
    <xf numFmtId="186" fontId="4" fillId="0" borderId="0" xfId="0" applyNumberFormat="1" applyFont="1" applyFill="1" applyAlignment="1">
      <alignment vertical="center"/>
    </xf>
    <xf numFmtId="186" fontId="6" fillId="0" borderId="0" xfId="17" applyNumberFormat="1" applyFont="1" applyAlignment="1">
      <alignment vertical="center"/>
    </xf>
    <xf numFmtId="186" fontId="4" fillId="0" borderId="0" xfId="17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vertical="center"/>
    </xf>
    <xf numFmtId="186" fontId="4" fillId="2" borderId="0" xfId="17" applyNumberFormat="1" applyFont="1" applyFill="1" applyAlignment="1">
      <alignment vertical="center"/>
    </xf>
    <xf numFmtId="186" fontId="4" fillId="2" borderId="0" xfId="0" applyNumberFormat="1" applyFont="1" applyFill="1" applyAlignment="1">
      <alignment vertical="center"/>
    </xf>
    <xf numFmtId="186" fontId="4" fillId="2" borderId="0" xfId="0" applyNumberFormat="1" applyFont="1" applyFill="1" applyBorder="1" applyAlignment="1">
      <alignment vertical="center"/>
    </xf>
    <xf numFmtId="186" fontId="7" fillId="2" borderId="0" xfId="0" applyNumberFormat="1" applyFont="1" applyFill="1" applyBorder="1" applyAlignment="1">
      <alignment vertical="center"/>
    </xf>
    <xf numFmtId="186" fontId="4" fillId="2" borderId="0" xfId="17" applyNumberFormat="1" applyFont="1" applyFill="1" applyBorder="1" applyAlignment="1">
      <alignment vertical="center"/>
    </xf>
    <xf numFmtId="186" fontId="4" fillId="0" borderId="2" xfId="0" applyNumberFormat="1" applyFont="1" applyBorder="1" applyAlignment="1">
      <alignment vertical="center"/>
    </xf>
    <xf numFmtId="186" fontId="4" fillId="0" borderId="0" xfId="17" applyNumberFormat="1" applyFont="1" applyFill="1" applyAlignment="1">
      <alignment horizontal="center" vertical="center"/>
    </xf>
    <xf numFmtId="186" fontId="4" fillId="0" borderId="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86" fontId="4" fillId="0" borderId="3" xfId="17" applyNumberFormat="1" applyFont="1" applyBorder="1" applyAlignment="1">
      <alignment vertical="center"/>
    </xf>
    <xf numFmtId="186" fontId="4" fillId="0" borderId="3" xfId="17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86" fontId="4" fillId="0" borderId="3" xfId="0" applyNumberFormat="1" applyFont="1" applyFill="1" applyBorder="1" applyAlignment="1">
      <alignment vertical="center"/>
    </xf>
    <xf numFmtId="186" fontId="4" fillId="0" borderId="0" xfId="17" applyNumberFormat="1" applyFont="1" applyBorder="1" applyAlignment="1">
      <alignment horizontal="center" vertical="center"/>
    </xf>
    <xf numFmtId="186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Border="1" applyAlignment="1">
      <alignment horizontal="center" vertical="center"/>
    </xf>
    <xf numFmtId="186" fontId="5" fillId="2" borderId="0" xfId="0" applyNumberFormat="1" applyFont="1" applyFill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0" fontId="4" fillId="0" borderId="0" xfId="17" applyNumberFormat="1" applyFont="1" applyAlignment="1">
      <alignment vertical="center"/>
    </xf>
    <xf numFmtId="0" fontId="4" fillId="0" borderId="0" xfId="17" applyNumberFormat="1" applyFont="1" applyBorder="1" applyAlignment="1">
      <alignment vertical="center"/>
    </xf>
    <xf numFmtId="186" fontId="4" fillId="0" borderId="0" xfId="0" applyNumberFormat="1" applyFont="1" applyBorder="1" applyAlignment="1">
      <alignment horizontal="left" vertical="center"/>
    </xf>
    <xf numFmtId="186" fontId="6" fillId="0" borderId="0" xfId="0" applyNumberFormat="1" applyFont="1" applyAlignment="1">
      <alignment horizontal="left" vertical="center"/>
    </xf>
    <xf numFmtId="186" fontId="6" fillId="2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186" fontId="4" fillId="2" borderId="3" xfId="17" applyNumberFormat="1" applyFont="1" applyFill="1" applyBorder="1" applyAlignment="1">
      <alignment vertical="center"/>
    </xf>
    <xf numFmtId="186" fontId="4" fillId="2" borderId="4" xfId="17" applyNumberFormat="1" applyFont="1" applyFill="1" applyBorder="1" applyAlignment="1">
      <alignment vertical="center"/>
    </xf>
    <xf numFmtId="186" fontId="4" fillId="0" borderId="4" xfId="17" applyNumberFormat="1" applyFont="1" applyFill="1" applyBorder="1" applyAlignment="1">
      <alignment vertical="center"/>
    </xf>
    <xf numFmtId="186" fontId="4" fillId="2" borderId="5" xfId="17" applyNumberFormat="1" applyFont="1" applyFill="1" applyBorder="1" applyAlignment="1">
      <alignment vertical="center"/>
    </xf>
    <xf numFmtId="186" fontId="8" fillId="2" borderId="0" xfId="0" applyNumberFormat="1" applyFont="1" applyFill="1" applyBorder="1" applyAlignment="1">
      <alignment vertical="center"/>
    </xf>
    <xf numFmtId="186" fontId="9" fillId="2" borderId="0" xfId="0" applyNumberFormat="1" applyFont="1" applyFill="1" applyBorder="1" applyAlignment="1">
      <alignment vertical="center"/>
    </xf>
    <xf numFmtId="186" fontId="4" fillId="0" borderId="6" xfId="17" applyNumberFormat="1" applyFont="1" applyFill="1" applyBorder="1" applyAlignment="1">
      <alignment vertical="center"/>
    </xf>
    <xf numFmtId="186" fontId="4" fillId="2" borderId="3" xfId="0" applyNumberFormat="1" applyFont="1" applyFill="1" applyBorder="1" applyAlignment="1">
      <alignment vertical="center"/>
    </xf>
    <xf numFmtId="186" fontId="4" fillId="0" borderId="0" xfId="17" applyNumberFormat="1" applyFont="1" applyFill="1" applyBorder="1" applyAlignment="1">
      <alignment horizontal="right" vertical="center"/>
    </xf>
    <xf numFmtId="186" fontId="7" fillId="0" borderId="7" xfId="17" applyNumberFormat="1" applyFont="1" applyFill="1" applyBorder="1" applyAlignment="1">
      <alignment vertical="center"/>
    </xf>
    <xf numFmtId="186" fontId="7" fillId="0" borderId="8" xfId="0" applyNumberFormat="1" applyFont="1" applyFill="1" applyBorder="1" applyAlignment="1">
      <alignment vertical="center"/>
    </xf>
    <xf numFmtId="186" fontId="7" fillId="0" borderId="8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186" fontId="7" fillId="0" borderId="10" xfId="0" applyNumberFormat="1" applyFont="1" applyBorder="1" applyAlignment="1">
      <alignment vertical="center"/>
    </xf>
    <xf numFmtId="186" fontId="7" fillId="0" borderId="11" xfId="0" applyNumberFormat="1" applyFont="1" applyBorder="1" applyAlignment="1">
      <alignment vertical="center"/>
    </xf>
    <xf numFmtId="186" fontId="7" fillId="0" borderId="10" xfId="17" applyNumberFormat="1" applyFont="1" applyFill="1" applyBorder="1" applyAlignment="1">
      <alignment vertical="center"/>
    </xf>
    <xf numFmtId="0" fontId="8" fillId="0" borderId="0" xfId="17" applyNumberFormat="1" applyFont="1" applyBorder="1" applyAlignment="1">
      <alignment vertical="center"/>
    </xf>
    <xf numFmtId="184" fontId="4" fillId="0" borderId="0" xfId="17" applyNumberFormat="1" applyFont="1" applyAlignment="1">
      <alignment vertical="center"/>
    </xf>
    <xf numFmtId="184" fontId="4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86" fontId="4" fillId="0" borderId="10" xfId="17" applyNumberFormat="1" applyFont="1" applyBorder="1" applyAlignment="1">
      <alignment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0" xfId="17" applyNumberFormat="1" applyFont="1" applyBorder="1" applyAlignment="1">
      <alignment horizontal="right" vertical="center"/>
    </xf>
    <xf numFmtId="186" fontId="0" fillId="0" borderId="0" xfId="0" applyNumberFormat="1" applyFont="1" applyFill="1" applyAlignment="1">
      <alignment horizontal="left" vertical="center"/>
    </xf>
    <xf numFmtId="183" fontId="7" fillId="0" borderId="12" xfId="0" applyNumberFormat="1" applyFont="1" applyBorder="1" applyAlignment="1">
      <alignment vertical="center"/>
    </xf>
    <xf numFmtId="183" fontId="7" fillId="0" borderId="13" xfId="0" applyNumberFormat="1" applyFont="1" applyBorder="1" applyAlignment="1">
      <alignment vertical="center"/>
    </xf>
    <xf numFmtId="183" fontId="7" fillId="0" borderId="14" xfId="0" applyNumberFormat="1" applyFont="1" applyBorder="1" applyAlignment="1">
      <alignment vertical="center"/>
    </xf>
    <xf numFmtId="186" fontId="4" fillId="2" borderId="0" xfId="17" applyNumberFormat="1" applyFont="1" applyFill="1" applyAlignment="1">
      <alignment horizontal="right" vertical="center"/>
    </xf>
    <xf numFmtId="186" fontId="4" fillId="2" borderId="0" xfId="17" applyNumberFormat="1" applyFont="1" applyFill="1" applyAlignment="1">
      <alignment horizontal="center" vertical="center"/>
    </xf>
    <xf numFmtId="186" fontId="4" fillId="2" borderId="0" xfId="17" applyNumberFormat="1" applyFont="1" applyFill="1" applyBorder="1" applyAlignment="1">
      <alignment horizontal="center" vertical="center"/>
    </xf>
    <xf numFmtId="186" fontId="4" fillId="2" borderId="0" xfId="0" applyNumberFormat="1" applyFont="1" applyFill="1" applyAlignment="1">
      <alignment horizontal="center" vertical="center"/>
    </xf>
    <xf numFmtId="186" fontId="4" fillId="2" borderId="0" xfId="17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86" fontId="4" fillId="2" borderId="0" xfId="0" applyNumberFormat="1" applyFont="1" applyFill="1" applyBorder="1" applyAlignment="1">
      <alignment horizontal="center" vertical="center"/>
    </xf>
    <xf numFmtId="186" fontId="4" fillId="2" borderId="0" xfId="0" applyNumberFormat="1" applyFont="1" applyFill="1" applyBorder="1" applyAlignment="1">
      <alignment horizontal="left" vertical="center"/>
    </xf>
    <xf numFmtId="186" fontId="4" fillId="2" borderId="0" xfId="0" applyNumberFormat="1" applyFont="1" applyFill="1" applyAlignment="1">
      <alignment horizontal="right" vertical="center"/>
    </xf>
    <xf numFmtId="183" fontId="4" fillId="0" borderId="0" xfId="0" applyNumberFormat="1" applyFont="1" applyBorder="1" applyAlignment="1">
      <alignment vertical="center"/>
    </xf>
    <xf numFmtId="186" fontId="4" fillId="0" borderId="15" xfId="17" applyNumberFormat="1" applyFont="1" applyBorder="1" applyAlignment="1">
      <alignment vertical="center"/>
    </xf>
    <xf numFmtId="186" fontId="4" fillId="0" borderId="16" xfId="17" applyNumberFormat="1" applyFont="1" applyBorder="1" applyAlignment="1">
      <alignment vertical="center"/>
    </xf>
    <xf numFmtId="186" fontId="4" fillId="0" borderId="2" xfId="17" applyNumberFormat="1" applyFont="1" applyFill="1" applyBorder="1" applyAlignment="1">
      <alignment vertical="center"/>
    </xf>
    <xf numFmtId="186" fontId="4" fillId="0" borderId="2" xfId="17" applyNumberFormat="1" applyFont="1" applyBorder="1" applyAlignment="1">
      <alignment vertical="center"/>
    </xf>
    <xf numFmtId="186" fontId="4" fillId="0" borderId="2" xfId="0" applyNumberFormat="1" applyFont="1" applyFill="1" applyBorder="1" applyAlignment="1">
      <alignment vertical="center"/>
    </xf>
    <xf numFmtId="186" fontId="4" fillId="0" borderId="17" xfId="17" applyNumberFormat="1" applyFont="1" applyBorder="1" applyAlignment="1">
      <alignment vertical="center"/>
    </xf>
    <xf numFmtId="186" fontId="4" fillId="0" borderId="18" xfId="0" applyNumberFormat="1" applyFont="1" applyBorder="1" applyAlignment="1">
      <alignment vertical="center"/>
    </xf>
    <xf numFmtId="186" fontId="4" fillId="0" borderId="18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>
      <alignment vertical="center"/>
    </xf>
    <xf numFmtId="186" fontId="4" fillId="0" borderId="20" xfId="0" applyNumberFormat="1" applyFont="1" applyBorder="1" applyAlignment="1">
      <alignment vertical="center"/>
    </xf>
    <xf numFmtId="186" fontId="4" fillId="0" borderId="21" xfId="17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83" fontId="7" fillId="0" borderId="7" xfId="0" applyNumberFormat="1" applyFont="1" applyBorder="1" applyAlignment="1">
      <alignment vertical="center"/>
    </xf>
    <xf numFmtId="183" fontId="7" fillId="0" borderId="8" xfId="0" applyNumberFormat="1" applyFont="1" applyBorder="1" applyAlignment="1">
      <alignment vertical="center"/>
    </xf>
    <xf numFmtId="183" fontId="7" fillId="0" borderId="9" xfId="0" applyNumberFormat="1" applyFont="1" applyBorder="1" applyAlignment="1">
      <alignment vertical="center"/>
    </xf>
    <xf numFmtId="183" fontId="7" fillId="0" borderId="10" xfId="0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/>
    </xf>
    <xf numFmtId="183" fontId="7" fillId="0" borderId="11" xfId="0" applyNumberFormat="1" applyFont="1" applyBorder="1" applyAlignment="1">
      <alignment vertical="center"/>
    </xf>
    <xf numFmtId="183" fontId="7" fillId="0" borderId="10" xfId="21" applyNumberFormat="1" applyFont="1" applyBorder="1" applyAlignment="1">
      <alignment vertical="center"/>
      <protection/>
    </xf>
    <xf numFmtId="183" fontId="7" fillId="0" borderId="0" xfId="21" applyNumberFormat="1" applyFont="1" applyBorder="1" applyAlignment="1">
      <alignment vertical="center"/>
      <protection/>
    </xf>
    <xf numFmtId="183" fontId="7" fillId="0" borderId="11" xfId="21" applyNumberFormat="1" applyFont="1" applyBorder="1" applyAlignment="1">
      <alignment vertical="center"/>
      <protection/>
    </xf>
    <xf numFmtId="183" fontId="7" fillId="0" borderId="1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83" fontId="7" fillId="0" borderId="11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196" fontId="4" fillId="0" borderId="0" xfId="0" applyNumberFormat="1" applyFont="1" applyBorder="1" applyAlignment="1">
      <alignment vertical="center"/>
    </xf>
    <xf numFmtId="197" fontId="4" fillId="0" borderId="0" xfId="0" applyNumberFormat="1" applyFont="1" applyBorder="1" applyAlignment="1">
      <alignment vertical="center"/>
    </xf>
    <xf numFmtId="186" fontId="0" fillId="0" borderId="0" xfId="17" applyNumberFormat="1" applyFont="1" applyAlignment="1">
      <alignment horizontal="right" vertical="center"/>
    </xf>
    <xf numFmtId="186" fontId="0" fillId="0" borderId="0" xfId="0" applyNumberFormat="1" applyFont="1" applyAlignment="1">
      <alignment vertical="center"/>
    </xf>
    <xf numFmtId="186" fontId="4" fillId="0" borderId="0" xfId="17" applyNumberFormat="1" applyFont="1" applyAlignment="1">
      <alignment horizontal="left" vertical="center"/>
    </xf>
    <xf numFmtId="186" fontId="4" fillId="0" borderId="22" xfId="0" applyNumberFormat="1" applyFont="1" applyBorder="1" applyAlignment="1">
      <alignment horizontal="center" vertical="center"/>
    </xf>
    <xf numFmtId="186" fontId="4" fillId="0" borderId="23" xfId="0" applyNumberFormat="1" applyFont="1" applyBorder="1" applyAlignment="1">
      <alignment horizontal="center" vertical="center"/>
    </xf>
    <xf numFmtId="183" fontId="4" fillId="0" borderId="10" xfId="17" applyNumberFormat="1" applyFont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183" fontId="4" fillId="0" borderId="12" xfId="17" applyNumberFormat="1" applyFont="1" applyBorder="1" applyAlignment="1">
      <alignment horizontal="right" vertical="center"/>
    </xf>
    <xf numFmtId="183" fontId="4" fillId="0" borderId="13" xfId="0" applyNumberFormat="1" applyFont="1" applyBorder="1" applyAlignment="1">
      <alignment horizontal="right" vertical="center"/>
    </xf>
    <xf numFmtId="183" fontId="4" fillId="0" borderId="13" xfId="0" applyNumberFormat="1" applyFont="1" applyFill="1" applyBorder="1" applyAlignment="1">
      <alignment horizontal="right" vertical="center"/>
    </xf>
    <xf numFmtId="183" fontId="4" fillId="0" borderId="14" xfId="0" applyNumberFormat="1" applyFont="1" applyFill="1" applyBorder="1" applyAlignment="1">
      <alignment horizontal="right" vertical="center"/>
    </xf>
    <xf numFmtId="0" fontId="5" fillId="0" borderId="0" xfId="17" applyNumberFormat="1" applyFont="1" applyAlignment="1">
      <alignment vertical="center"/>
    </xf>
    <xf numFmtId="0" fontId="5" fillId="0" borderId="0" xfId="17" applyNumberFormat="1" applyFont="1" applyFill="1" applyAlignment="1">
      <alignment vertical="center"/>
    </xf>
    <xf numFmtId="192" fontId="4" fillId="0" borderId="0" xfId="17" applyNumberFormat="1" applyFont="1" applyBorder="1" applyAlignment="1">
      <alignment vertical="center"/>
    </xf>
    <xf numFmtId="196" fontId="4" fillId="0" borderId="2" xfId="0" applyNumberFormat="1" applyFont="1" applyBorder="1" applyAlignment="1">
      <alignment horizontal="right" vertical="center"/>
    </xf>
    <xf numFmtId="196" fontId="4" fillId="0" borderId="0" xfId="0" applyNumberFormat="1" applyFont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196" fontId="4" fillId="0" borderId="0" xfId="17" applyNumberFormat="1" applyFont="1" applyBorder="1" applyAlignment="1">
      <alignment horizontal="right" vertical="center"/>
    </xf>
    <xf numFmtId="196" fontId="4" fillId="0" borderId="3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基本シナリオ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5</xdr:row>
      <xdr:rowOff>104775</xdr:rowOff>
    </xdr:from>
    <xdr:to>
      <xdr:col>7</xdr:col>
      <xdr:colOff>333375</xdr:colOff>
      <xdr:row>17</xdr:row>
      <xdr:rowOff>123825</xdr:rowOff>
    </xdr:to>
    <xdr:sp>
      <xdr:nvSpPr>
        <xdr:cNvPr id="1" name="Line 1"/>
        <xdr:cNvSpPr>
          <a:spLocks/>
        </xdr:cNvSpPr>
      </xdr:nvSpPr>
      <xdr:spPr>
        <a:xfrm flipV="1">
          <a:off x="3000375" y="1057275"/>
          <a:ext cx="193357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1</xdr:row>
      <xdr:rowOff>76200</xdr:rowOff>
    </xdr:from>
    <xdr:to>
      <xdr:col>11</xdr:col>
      <xdr:colOff>142875</xdr:colOff>
      <xdr:row>13</xdr:row>
      <xdr:rowOff>28575</xdr:rowOff>
    </xdr:to>
    <xdr:sp>
      <xdr:nvSpPr>
        <xdr:cNvPr id="2" name="Line 3"/>
        <xdr:cNvSpPr>
          <a:spLocks/>
        </xdr:cNvSpPr>
      </xdr:nvSpPr>
      <xdr:spPr>
        <a:xfrm flipV="1">
          <a:off x="6400800" y="266700"/>
          <a:ext cx="97155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142875</xdr:rowOff>
    </xdr:from>
    <xdr:to>
      <xdr:col>5</xdr:col>
      <xdr:colOff>247650</xdr:colOff>
      <xdr:row>20</xdr:row>
      <xdr:rowOff>76200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47825" y="2924175"/>
          <a:ext cx="188595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第二再処理単価の変動の影響をシミュレーションできる。1又は0.5を入力</a:t>
          </a:r>
        </a:p>
      </xdr:txBody>
    </xdr:sp>
    <xdr:clientData/>
  </xdr:twoCellAnchor>
  <xdr:twoCellAnchor>
    <xdr:from>
      <xdr:col>11</xdr:col>
      <xdr:colOff>142875</xdr:colOff>
      <xdr:row>1</xdr:row>
      <xdr:rowOff>142875</xdr:rowOff>
    </xdr:from>
    <xdr:to>
      <xdr:col>16</xdr:col>
      <xdr:colOff>352425</xdr:colOff>
      <xdr:row>31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372350" y="333375"/>
          <a:ext cx="3495675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28</xdr:row>
      <xdr:rowOff>142875</xdr:rowOff>
    </xdr:from>
    <xdr:to>
      <xdr:col>11</xdr:col>
      <xdr:colOff>409575</xdr:colOff>
      <xdr:row>33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448300" y="5295900"/>
          <a:ext cx="21907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直接処分場単価をどのケースを使うかを、ここで入力</a:t>
          </a:r>
        </a:p>
      </xdr:txBody>
    </xdr:sp>
    <xdr:clientData/>
  </xdr:twoCellAnchor>
  <xdr:twoCellAnchor>
    <xdr:from>
      <xdr:col>9</xdr:col>
      <xdr:colOff>561975</xdr:colOff>
      <xdr:row>2</xdr:row>
      <xdr:rowOff>104775</xdr:rowOff>
    </xdr:from>
    <xdr:to>
      <xdr:col>11</xdr:col>
      <xdr:colOff>219075</xdr:colOff>
      <xdr:row>14</xdr:row>
      <xdr:rowOff>66675</xdr:rowOff>
    </xdr:to>
    <xdr:sp>
      <xdr:nvSpPr>
        <xdr:cNvPr id="6" name="Line 7"/>
        <xdr:cNvSpPr>
          <a:spLocks/>
        </xdr:cNvSpPr>
      </xdr:nvSpPr>
      <xdr:spPr>
        <a:xfrm flipV="1">
          <a:off x="6477000" y="485775"/>
          <a:ext cx="97155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47625</xdr:rowOff>
    </xdr:from>
    <xdr:to>
      <xdr:col>12</xdr:col>
      <xdr:colOff>142875</xdr:colOff>
      <xdr:row>23</xdr:row>
      <xdr:rowOff>104775</xdr:rowOff>
    </xdr:to>
    <xdr:sp>
      <xdr:nvSpPr>
        <xdr:cNvPr id="7" name="TextBox 2"/>
        <xdr:cNvSpPr txBox="1">
          <a:spLocks noChangeArrowheads="1"/>
        </xdr:cNvSpPr>
      </xdr:nvSpPr>
      <xdr:spPr>
        <a:xfrm>
          <a:off x="5400675" y="2276475"/>
          <a:ext cx="26289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再処理容量の入力により、各シナリオのコストが自動計算される。
シナリオ1：第一が800で第二が1200
シナリオ2：第一が800で第二が0
シナリオ3：第一が0で第二も0
シナリオ4：次の２ケースをそれぞれ計算し、それぞれの50％を合計。
　シナリオ4-①：第一が0で第二が1200
　シナリオ4-②：第一が0で第二も0</a:t>
          </a:r>
        </a:p>
      </xdr:txBody>
    </xdr:sp>
    <xdr:clientData/>
  </xdr:twoCellAnchor>
  <xdr:twoCellAnchor>
    <xdr:from>
      <xdr:col>4</xdr:col>
      <xdr:colOff>28575</xdr:colOff>
      <xdr:row>4</xdr:row>
      <xdr:rowOff>66675</xdr:rowOff>
    </xdr:from>
    <xdr:to>
      <xdr:col>7</xdr:col>
      <xdr:colOff>257175</xdr:colOff>
      <xdr:row>12</xdr:row>
      <xdr:rowOff>104775</xdr:rowOff>
    </xdr:to>
    <xdr:sp>
      <xdr:nvSpPr>
        <xdr:cNvPr id="8" name="Line 9"/>
        <xdr:cNvSpPr>
          <a:spLocks/>
        </xdr:cNvSpPr>
      </xdr:nvSpPr>
      <xdr:spPr>
        <a:xfrm flipV="1">
          <a:off x="2657475" y="828675"/>
          <a:ext cx="22002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11</xdr:row>
      <xdr:rowOff>9525</xdr:rowOff>
    </xdr:from>
    <xdr:to>
      <xdr:col>5</xdr:col>
      <xdr:colOff>38100</xdr:colOff>
      <xdr:row>14</xdr:row>
      <xdr:rowOff>104775</xdr:rowOff>
    </xdr:to>
    <xdr:sp>
      <xdr:nvSpPr>
        <xdr:cNvPr id="9" name="TextBox 8"/>
        <xdr:cNvSpPr txBox="1">
          <a:spLocks noChangeArrowheads="1"/>
        </xdr:cNvSpPr>
      </xdr:nvSpPr>
      <xdr:spPr>
        <a:xfrm>
          <a:off x="1647825" y="2057400"/>
          <a:ext cx="16764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割引率を入力
0.01又は0.02又は0.03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38"/>
  <sheetViews>
    <sheetView tabSelected="1" zoomScale="75" zoomScaleNormal="75" workbookViewId="0" topLeftCell="A1">
      <selection activeCell="O15" sqref="O15"/>
    </sheetView>
  </sheetViews>
  <sheetFormatPr defaultColWidth="9.00390625" defaultRowHeight="13.5"/>
  <cols>
    <col min="1" max="1" width="8.625" style="1" customWidth="1"/>
    <col min="2" max="8" width="8.625" style="2" customWidth="1"/>
    <col min="9" max="15" width="8.625" style="1" customWidth="1"/>
    <col min="16" max="20" width="8.625" style="2" customWidth="1"/>
    <col min="21" max="27" width="8.625" style="1" customWidth="1"/>
    <col min="28" max="28" width="8.625" style="30" customWidth="1"/>
    <col min="29" max="51" width="8.625" style="2" customWidth="1"/>
    <col min="52" max="52" width="8.625" style="0" customWidth="1"/>
    <col min="53" max="53" width="8.625" style="2" customWidth="1"/>
    <col min="54" max="54" width="8.125" style="2" customWidth="1"/>
    <col min="55" max="56" width="8.125" style="4" customWidth="1"/>
    <col min="57" max="86" width="8.125" style="3" customWidth="1"/>
    <col min="88" max="88" width="8.625" style="3" customWidth="1"/>
    <col min="89" max="90" width="8.625" style="2" customWidth="1"/>
    <col min="91" max="91" width="8.625" style="3" customWidth="1"/>
    <col min="92" max="92" width="12.875" style="3" customWidth="1"/>
    <col min="93" max="95" width="8.625" style="3" customWidth="1"/>
    <col min="96" max="174" width="9.00390625" style="3" customWidth="1"/>
    <col min="175" max="16384" width="9.00390625" style="1" customWidth="1"/>
  </cols>
  <sheetData>
    <row r="1" spans="50:51" ht="15" thickBot="1">
      <c r="AX1" s="4"/>
      <c r="AY1" s="4"/>
    </row>
    <row r="2" spans="2:48" ht="15" thickBot="1">
      <c r="B2" s="1" t="s">
        <v>11</v>
      </c>
      <c r="C2" s="4">
        <v>2000</v>
      </c>
      <c r="D2" s="4" t="s">
        <v>44</v>
      </c>
      <c r="F2" s="3" t="s">
        <v>6</v>
      </c>
      <c r="H2" s="27">
        <v>0.345</v>
      </c>
      <c r="J2" s="2" t="s">
        <v>153</v>
      </c>
      <c r="L2" s="18">
        <v>800</v>
      </c>
      <c r="M2" s="115" t="s">
        <v>147</v>
      </c>
      <c r="N2" s="115" t="s">
        <v>142</v>
      </c>
      <c r="Q2" s="5">
        <v>2</v>
      </c>
      <c r="R2" s="1"/>
      <c r="AK2" s="3"/>
      <c r="AV2" s="12"/>
    </row>
    <row r="3" spans="2:53" ht="15" thickBot="1">
      <c r="B3" s="3" t="s">
        <v>135</v>
      </c>
      <c r="C3" s="3"/>
      <c r="F3" s="3" t="s">
        <v>19</v>
      </c>
      <c r="H3" s="27">
        <v>0.035</v>
      </c>
      <c r="J3" s="2" t="s">
        <v>91</v>
      </c>
      <c r="L3" s="66">
        <v>1200</v>
      </c>
      <c r="M3" s="115" t="s">
        <v>147</v>
      </c>
      <c r="N3" s="97" t="s">
        <v>125</v>
      </c>
      <c r="O3" s="72" t="s">
        <v>119</v>
      </c>
      <c r="P3" s="3"/>
      <c r="Q3" s="3"/>
      <c r="R3" s="97" t="s">
        <v>130</v>
      </c>
      <c r="S3" s="72" t="s">
        <v>141</v>
      </c>
      <c r="AC3" s="3"/>
      <c r="AK3" s="3"/>
      <c r="AQ3" s="3"/>
      <c r="AR3" s="3"/>
      <c r="AS3" s="3"/>
      <c r="AT3" s="3"/>
      <c r="AU3" s="3"/>
      <c r="AV3" s="3"/>
      <c r="AW3" s="3"/>
      <c r="AX3" s="3"/>
      <c r="AY3" s="3"/>
      <c r="BA3" s="1"/>
    </row>
    <row r="4" spans="1:19" ht="15" thickBot="1">
      <c r="A4" s="2"/>
      <c r="B4" s="10" t="s">
        <v>15</v>
      </c>
      <c r="C4" s="4">
        <v>45000</v>
      </c>
      <c r="D4" s="2" t="s">
        <v>137</v>
      </c>
      <c r="F4" s="2" t="s">
        <v>54</v>
      </c>
      <c r="H4" s="40">
        <v>0.15</v>
      </c>
      <c r="J4" s="1" t="s">
        <v>92</v>
      </c>
      <c r="L4" s="27">
        <v>2047</v>
      </c>
      <c r="M4" s="1" t="s">
        <v>12</v>
      </c>
      <c r="N4" s="97" t="s">
        <v>126</v>
      </c>
      <c r="O4" s="72" t="s">
        <v>120</v>
      </c>
      <c r="P4" s="3"/>
      <c r="Q4" s="3"/>
      <c r="R4" s="97" t="s">
        <v>131</v>
      </c>
      <c r="S4" s="72" t="s">
        <v>140</v>
      </c>
    </row>
    <row r="5" spans="2:57" ht="15" thickBot="1">
      <c r="B5" s="10" t="s">
        <v>49</v>
      </c>
      <c r="C5" s="4">
        <v>40000</v>
      </c>
      <c r="D5" s="2" t="s">
        <v>136</v>
      </c>
      <c r="F5" s="3" t="s">
        <v>149</v>
      </c>
      <c r="H5" s="18">
        <v>0.02</v>
      </c>
      <c r="J5" s="3" t="s">
        <v>139</v>
      </c>
      <c r="K5" s="2"/>
      <c r="L5" s="85">
        <v>4</v>
      </c>
      <c r="M5" s="3" t="s">
        <v>110</v>
      </c>
      <c r="N5" s="97" t="s">
        <v>127</v>
      </c>
      <c r="O5" s="72" t="s">
        <v>121</v>
      </c>
      <c r="P5" s="3"/>
      <c r="Q5" s="3"/>
      <c r="R5" s="97" t="s">
        <v>132</v>
      </c>
      <c r="S5" s="72" t="s">
        <v>124</v>
      </c>
      <c r="AL5" s="1"/>
      <c r="AY5" s="12" t="s">
        <v>143</v>
      </c>
      <c r="AZ5" s="81"/>
      <c r="BA5" s="116" t="s">
        <v>145</v>
      </c>
      <c r="BC5" s="2"/>
      <c r="BD5"/>
      <c r="BE5" s="2"/>
    </row>
    <row r="6" spans="2:53" ht="15" thickBot="1">
      <c r="B6" s="2" t="s">
        <v>45</v>
      </c>
      <c r="D6" s="4"/>
      <c r="F6" s="3" t="s">
        <v>109</v>
      </c>
      <c r="G6" s="3"/>
      <c r="H6" s="18">
        <v>1</v>
      </c>
      <c r="I6" s="3" t="s">
        <v>110</v>
      </c>
      <c r="L6" s="114" t="s">
        <v>138</v>
      </c>
      <c r="N6" s="97" t="s">
        <v>128</v>
      </c>
      <c r="O6" s="72" t="s">
        <v>122</v>
      </c>
      <c r="P6" s="3"/>
      <c r="Q6" s="3"/>
      <c r="R6"/>
      <c r="S6" s="35"/>
      <c r="AL6" s="1"/>
      <c r="AY6" s="12" t="s">
        <v>144</v>
      </c>
      <c r="AZ6" s="19"/>
      <c r="BA6" s="116" t="s">
        <v>146</v>
      </c>
    </row>
    <row r="7" spans="3:38" ht="14.25">
      <c r="C7" s="127">
        <f>CM67</f>
        <v>1.5571549886257188</v>
      </c>
      <c r="D7" s="3" t="s">
        <v>31</v>
      </c>
      <c r="H7" s="114" t="s">
        <v>154</v>
      </c>
      <c r="J7" s="2"/>
      <c r="N7" s="97" t="s">
        <v>129</v>
      </c>
      <c r="O7" s="72" t="s">
        <v>123</v>
      </c>
      <c r="P7" s="3"/>
      <c r="Q7" s="3"/>
      <c r="R7"/>
      <c r="S7" s="98"/>
      <c r="AL7" s="1"/>
    </row>
    <row r="8" spans="2:85" ht="14.25">
      <c r="B8" s="16"/>
      <c r="I8" s="13"/>
      <c r="J8" s="13"/>
      <c r="K8" s="13"/>
      <c r="L8" s="13"/>
      <c r="M8" s="13"/>
      <c r="N8" s="64"/>
      <c r="P8" s="8"/>
      <c r="S8" s="3"/>
      <c r="AV8" s="2" t="s">
        <v>89</v>
      </c>
      <c r="BT8" s="35"/>
      <c r="CG8" s="41"/>
    </row>
    <row r="9" spans="1:91" ht="14.25">
      <c r="A9" s="9" t="s">
        <v>7</v>
      </c>
      <c r="B9" s="2" t="s">
        <v>35</v>
      </c>
      <c r="C9" s="2" t="s">
        <v>114</v>
      </c>
      <c r="I9" s="4" t="s">
        <v>13</v>
      </c>
      <c r="J9" s="4"/>
      <c r="K9" s="4"/>
      <c r="L9" s="4"/>
      <c r="M9" s="4"/>
      <c r="N9" s="4"/>
      <c r="O9" s="42"/>
      <c r="P9" s="2" t="s">
        <v>34</v>
      </c>
      <c r="U9" s="1" t="s">
        <v>83</v>
      </c>
      <c r="Z9" s="4" t="s">
        <v>0</v>
      </c>
      <c r="AA9" s="4"/>
      <c r="AC9" s="4"/>
      <c r="AD9" s="4"/>
      <c r="AE9" s="4"/>
      <c r="AF9" s="4"/>
      <c r="AG9" s="4"/>
      <c r="AH9" s="4"/>
      <c r="AI9" s="4"/>
      <c r="AJ9" s="4" t="s">
        <v>93</v>
      </c>
      <c r="AK9" s="4" t="s">
        <v>94</v>
      </c>
      <c r="AL9" s="33" t="s">
        <v>80</v>
      </c>
      <c r="AM9" s="4" t="s">
        <v>66</v>
      </c>
      <c r="AN9" s="4"/>
      <c r="AO9" s="4"/>
      <c r="AP9" s="4"/>
      <c r="AQ9" s="4"/>
      <c r="AR9" s="4"/>
      <c r="AS9" s="4"/>
      <c r="AT9" s="4"/>
      <c r="AU9" s="4"/>
      <c r="AV9" s="4" t="s">
        <v>115</v>
      </c>
      <c r="AW9" s="4"/>
      <c r="AX9" s="4" t="s">
        <v>116</v>
      </c>
      <c r="AY9" s="4"/>
      <c r="BA9" s="4" t="s">
        <v>90</v>
      </c>
      <c r="BB9" s="33" t="s">
        <v>15</v>
      </c>
      <c r="BC9" s="4" t="s">
        <v>95</v>
      </c>
      <c r="BE9" s="4" t="s">
        <v>13</v>
      </c>
      <c r="BF9" s="4"/>
      <c r="BG9" s="3" t="s">
        <v>20</v>
      </c>
      <c r="BI9" s="3" t="s">
        <v>0</v>
      </c>
      <c r="BK9" s="3" t="s">
        <v>24</v>
      </c>
      <c r="BM9" s="3" t="s">
        <v>16</v>
      </c>
      <c r="BO9" s="3" t="s">
        <v>2</v>
      </c>
      <c r="BQ9" s="3" t="s">
        <v>27</v>
      </c>
      <c r="BT9" s="3" t="s">
        <v>4</v>
      </c>
      <c r="BU9" s="3" t="s">
        <v>30</v>
      </c>
      <c r="BW9" s="3" t="s">
        <v>8</v>
      </c>
      <c r="BY9" s="3" t="s">
        <v>9</v>
      </c>
      <c r="CB9" s="3" t="s">
        <v>36</v>
      </c>
      <c r="CE9" s="3" t="s">
        <v>1</v>
      </c>
      <c r="CG9" s="3" t="s">
        <v>85</v>
      </c>
      <c r="CK9" s="14"/>
      <c r="CL9" s="14"/>
      <c r="CM9" s="34"/>
    </row>
    <row r="10" spans="1:91" ht="14.25">
      <c r="A10" s="9" t="s">
        <v>12</v>
      </c>
      <c r="B10" s="12" t="s">
        <v>5</v>
      </c>
      <c r="C10" s="12" t="s">
        <v>51</v>
      </c>
      <c r="D10" s="12" t="s">
        <v>52</v>
      </c>
      <c r="E10" s="12" t="s">
        <v>55</v>
      </c>
      <c r="F10" s="12" t="s">
        <v>14</v>
      </c>
      <c r="G10" s="10" t="s">
        <v>15</v>
      </c>
      <c r="H10" s="10" t="s">
        <v>113</v>
      </c>
      <c r="I10" s="10" t="s">
        <v>57</v>
      </c>
      <c r="J10" s="10" t="s">
        <v>58</v>
      </c>
      <c r="K10" s="12" t="s">
        <v>59</v>
      </c>
      <c r="L10" s="10" t="s">
        <v>14</v>
      </c>
      <c r="M10" s="10" t="s">
        <v>53</v>
      </c>
      <c r="N10" s="10" t="s">
        <v>113</v>
      </c>
      <c r="O10" s="33" t="s">
        <v>56</v>
      </c>
      <c r="P10" s="10" t="s">
        <v>60</v>
      </c>
      <c r="Q10" s="10" t="s">
        <v>61</v>
      </c>
      <c r="R10" s="12" t="s">
        <v>62</v>
      </c>
      <c r="S10" s="10" t="s">
        <v>53</v>
      </c>
      <c r="T10" s="10" t="s">
        <v>113</v>
      </c>
      <c r="U10" s="10" t="s">
        <v>63</v>
      </c>
      <c r="V10" s="10" t="s">
        <v>64</v>
      </c>
      <c r="W10" s="10" t="s">
        <v>65</v>
      </c>
      <c r="X10" s="10" t="s">
        <v>53</v>
      </c>
      <c r="Y10" s="9" t="s">
        <v>113</v>
      </c>
      <c r="Z10" s="10" t="s">
        <v>73</v>
      </c>
      <c r="AA10" s="10" t="s">
        <v>74</v>
      </c>
      <c r="AB10" s="25" t="s">
        <v>148</v>
      </c>
      <c r="AC10" s="17" t="s">
        <v>67</v>
      </c>
      <c r="AD10" s="17" t="s">
        <v>68</v>
      </c>
      <c r="AE10" s="17" t="s">
        <v>69</v>
      </c>
      <c r="AF10" s="17" t="s">
        <v>70</v>
      </c>
      <c r="AG10" s="17" t="s">
        <v>71</v>
      </c>
      <c r="AH10" s="17" t="s">
        <v>72</v>
      </c>
      <c r="AI10" s="33" t="s">
        <v>14</v>
      </c>
      <c r="AJ10" s="33" t="s">
        <v>77</v>
      </c>
      <c r="AK10" s="33" t="s">
        <v>77</v>
      </c>
      <c r="AL10" s="33" t="s">
        <v>77</v>
      </c>
      <c r="AM10" s="17" t="s">
        <v>57</v>
      </c>
      <c r="AN10" s="17" t="s">
        <v>60</v>
      </c>
      <c r="AO10" s="17" t="s">
        <v>58</v>
      </c>
      <c r="AP10" s="17" t="s">
        <v>61</v>
      </c>
      <c r="AQ10" s="17" t="s">
        <v>59</v>
      </c>
      <c r="AR10" s="17" t="s">
        <v>62</v>
      </c>
      <c r="AS10" s="17" t="s">
        <v>75</v>
      </c>
      <c r="AT10" s="17" t="s">
        <v>76</v>
      </c>
      <c r="AU10" s="33" t="s">
        <v>10</v>
      </c>
      <c r="AV10" s="33" t="s">
        <v>84</v>
      </c>
      <c r="AW10" s="33" t="s">
        <v>88</v>
      </c>
      <c r="AX10" s="33" t="s">
        <v>87</v>
      </c>
      <c r="AY10" s="33" t="s">
        <v>88</v>
      </c>
      <c r="BA10" s="10" t="s">
        <v>18</v>
      </c>
      <c r="BB10" s="10" t="s">
        <v>150</v>
      </c>
      <c r="BC10" s="33" t="s">
        <v>50</v>
      </c>
      <c r="BD10" s="10" t="s">
        <v>150</v>
      </c>
      <c r="BE10" s="33" t="s">
        <v>50</v>
      </c>
      <c r="BF10" s="10" t="s">
        <v>150</v>
      </c>
      <c r="BG10" s="35" t="s">
        <v>50</v>
      </c>
      <c r="BH10" s="10" t="s">
        <v>150</v>
      </c>
      <c r="BI10" s="35" t="s">
        <v>50</v>
      </c>
      <c r="BJ10" s="10" t="s">
        <v>150</v>
      </c>
      <c r="BK10" s="35" t="s">
        <v>50</v>
      </c>
      <c r="BL10" s="10" t="s">
        <v>150</v>
      </c>
      <c r="BM10" s="35" t="s">
        <v>50</v>
      </c>
      <c r="BN10" s="10" t="s">
        <v>150</v>
      </c>
      <c r="BO10" s="35" t="s">
        <v>50</v>
      </c>
      <c r="BP10" s="10" t="s">
        <v>150</v>
      </c>
      <c r="BQ10" s="35" t="s">
        <v>78</v>
      </c>
      <c r="BR10" s="35" t="s">
        <v>79</v>
      </c>
      <c r="BS10" s="10" t="s">
        <v>150</v>
      </c>
      <c r="BT10" s="10" t="s">
        <v>150</v>
      </c>
      <c r="BU10" s="35" t="s">
        <v>50</v>
      </c>
      <c r="BV10" s="10" t="s">
        <v>150</v>
      </c>
      <c r="BW10" s="35" t="s">
        <v>50</v>
      </c>
      <c r="BX10" s="10" t="s">
        <v>150</v>
      </c>
      <c r="BY10" s="35" t="s">
        <v>78</v>
      </c>
      <c r="BZ10" s="35" t="s">
        <v>79</v>
      </c>
      <c r="CA10" s="10" t="s">
        <v>150</v>
      </c>
      <c r="CB10" s="35" t="s">
        <v>78</v>
      </c>
      <c r="CC10" s="35" t="s">
        <v>79</v>
      </c>
      <c r="CD10" s="10" t="s">
        <v>150</v>
      </c>
      <c r="CE10" s="3" t="s">
        <v>81</v>
      </c>
      <c r="CF10" s="10" t="s">
        <v>150</v>
      </c>
      <c r="CG10" s="35" t="s">
        <v>151</v>
      </c>
      <c r="CH10" s="41" t="s">
        <v>152</v>
      </c>
      <c r="CK10" s="14"/>
      <c r="CL10" s="14"/>
      <c r="CM10" s="34"/>
    </row>
    <row r="11" spans="1:91" ht="14.25">
      <c r="A11" s="84">
        <v>1999</v>
      </c>
      <c r="B11" s="76"/>
      <c r="C11" s="76"/>
      <c r="D11" s="76"/>
      <c r="E11" s="76"/>
      <c r="F11" s="76"/>
      <c r="G11" s="76"/>
      <c r="H11" s="76"/>
      <c r="I11" s="77"/>
      <c r="J11" s="77"/>
      <c r="K11" s="76"/>
      <c r="L11" s="77"/>
      <c r="M11" s="77"/>
      <c r="N11" s="77"/>
      <c r="O11" s="78"/>
      <c r="P11" s="77"/>
      <c r="Q11" s="77"/>
      <c r="R11" s="76"/>
      <c r="S11" s="77"/>
      <c r="T11" s="77"/>
      <c r="U11" s="77"/>
      <c r="V11" s="77"/>
      <c r="W11" s="77"/>
      <c r="X11" s="77"/>
      <c r="Y11" s="79"/>
      <c r="Z11" s="77"/>
      <c r="AA11" s="77"/>
      <c r="AB11" s="77"/>
      <c r="AC11" s="80"/>
      <c r="AD11" s="80"/>
      <c r="AE11" s="80"/>
      <c r="AF11" s="80"/>
      <c r="AG11" s="80"/>
      <c r="AH11" s="80"/>
      <c r="AI11" s="80"/>
      <c r="AJ11" s="78"/>
      <c r="AK11" s="78"/>
      <c r="AL11" s="78"/>
      <c r="AM11" s="80"/>
      <c r="AN11" s="80"/>
      <c r="AO11" s="80"/>
      <c r="AP11" s="80"/>
      <c r="AQ11" s="80"/>
      <c r="AR11" s="80"/>
      <c r="AS11" s="80"/>
      <c r="AT11" s="80"/>
      <c r="AU11" s="80"/>
      <c r="AV11" s="78"/>
      <c r="AW11" s="78"/>
      <c r="AX11" s="78"/>
      <c r="AY11" s="78"/>
      <c r="AZ11" s="81"/>
      <c r="BA11" s="77"/>
      <c r="BB11" s="77"/>
      <c r="BC11" s="78"/>
      <c r="BD11" s="78"/>
      <c r="BE11" s="78"/>
      <c r="BF11" s="78"/>
      <c r="BG11" s="82"/>
      <c r="BH11" s="78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21"/>
      <c r="CF11" s="82"/>
      <c r="CG11" s="82"/>
      <c r="CH11" s="83"/>
      <c r="CK11" s="37" t="s">
        <v>117</v>
      </c>
      <c r="CL11" s="14"/>
      <c r="CM11" s="34"/>
    </row>
    <row r="12" spans="1:174" s="15" customFormat="1" ht="14.25">
      <c r="A12" s="20">
        <f aca="true" t="shared" si="0" ref="A12:A44">A11+1</f>
        <v>2000</v>
      </c>
      <c r="B12" s="23"/>
      <c r="C12" s="19"/>
      <c r="D12" s="19"/>
      <c r="E12" s="19"/>
      <c r="F12" s="19"/>
      <c r="G12" s="19"/>
      <c r="H12" s="19"/>
      <c r="I12" s="22"/>
      <c r="J12" s="22"/>
      <c r="K12" s="22"/>
      <c r="L12" s="22"/>
      <c r="M12" s="21"/>
      <c r="N12" s="21"/>
      <c r="O12" s="4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23"/>
      <c r="BD12" s="23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J12" s="3"/>
      <c r="CK12" s="11"/>
      <c r="CM12" s="34"/>
      <c r="CN12" s="3"/>
      <c r="CO12" s="3"/>
      <c r="CP12" s="3"/>
      <c r="CQ12" s="3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</row>
    <row r="13" spans="1:174" s="15" customFormat="1" ht="15" thickBot="1">
      <c r="A13" s="20">
        <f t="shared" si="0"/>
        <v>2001</v>
      </c>
      <c r="B13" s="2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1"/>
      <c r="N13" s="21"/>
      <c r="O13" s="50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23"/>
      <c r="BD13" s="23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J13" s="3"/>
      <c r="CK13" s="53" t="s">
        <v>41</v>
      </c>
      <c r="CL13" s="11">
        <v>0</v>
      </c>
      <c r="CM13" s="34">
        <v>1</v>
      </c>
      <c r="CN13" s="3">
        <v>2</v>
      </c>
      <c r="CO13" s="3">
        <v>3</v>
      </c>
      <c r="CP13" s="3">
        <v>4</v>
      </c>
      <c r="CQ13" s="3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</row>
    <row r="14" spans="1:174" s="15" customFormat="1" ht="14.25">
      <c r="A14" s="1">
        <f t="shared" si="0"/>
        <v>2002</v>
      </c>
      <c r="B14" s="96">
        <v>3408.282162</v>
      </c>
      <c r="C14" s="2"/>
      <c r="D14" s="2"/>
      <c r="E14" s="2"/>
      <c r="F14" s="2">
        <f>C14+D14+E14</f>
        <v>0</v>
      </c>
      <c r="G14" s="14">
        <f aca="true" t="shared" si="1" ref="G14:G45">(B14/$H$2*10^8/10^3/24-F14*$C$5)/$C$4</f>
        <v>914.7295120772947</v>
      </c>
      <c r="H14" s="14">
        <f aca="true" t="shared" si="2" ref="H14:H45">F14+G14</f>
        <v>914.7295120772947</v>
      </c>
      <c r="I14" s="19"/>
      <c r="J14" s="19"/>
      <c r="K14" s="19"/>
      <c r="L14" s="19"/>
      <c r="M14" s="21"/>
      <c r="N14" s="21"/>
      <c r="O14" s="50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31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">
        <f aca="true" t="shared" si="3" ref="AV14:AV45">IF($L$3&gt;0,0,S19)</f>
        <v>0</v>
      </c>
      <c r="AW14" s="2">
        <f aca="true" t="shared" si="4" ref="AW14:AW45">IF($L$3&gt;0,0,P19+Q19+R19)</f>
        <v>0</v>
      </c>
      <c r="AX14" s="2">
        <f aca="true" t="shared" si="5" ref="AX14:AX45">M15+IF($L$3&gt;0,S19,0)</f>
        <v>914.7295120772947</v>
      </c>
      <c r="AY14" s="2">
        <f aca="true" t="shared" si="6" ref="AY14:AY45">L15+IF($L$3&gt;0,P19+Q19+R19,0)</f>
        <v>0</v>
      </c>
      <c r="AZ14" s="19"/>
      <c r="BA14" s="2">
        <f aca="true" t="shared" si="7" ref="BA14:BA45">(F14*$C$5+G14*$C$4)*10^3*24*$H$2*$CN$52*(1-$H$3)/10^8/(1+$H$5)^(A14-5-$C$2+1)</f>
        <v>3257.8648245317527</v>
      </c>
      <c r="BB14" s="2">
        <f aca="true" t="shared" si="8" ref="BB14:BB45">$CN$37*G14/10^8/((1+$H$5)^(A14-5-$C$2+1))</f>
        <v>1998.5376271669563</v>
      </c>
      <c r="BC14" s="23"/>
      <c r="BD14" s="23"/>
      <c r="BE14" s="36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3">
        <f aca="true" t="shared" si="9" ref="BT14:BT45">(AX14*$C$4+AY14*$C$5)*10^3*24*$H$2*(1-$H$3)*$CN$44/10^8*$CN$52/(1+$H$5)^(A14-5-$C$2+1)</f>
        <v>406.47349727836576</v>
      </c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J14" s="3"/>
      <c r="CK14" s="53" t="s">
        <v>23</v>
      </c>
      <c r="CL14" s="54">
        <v>20500</v>
      </c>
      <c r="CM14" s="55">
        <v>20800</v>
      </c>
      <c r="CN14" s="56">
        <v>21000</v>
      </c>
      <c r="CO14" s="56">
        <v>21300</v>
      </c>
      <c r="CP14" s="57">
        <v>21600</v>
      </c>
      <c r="CQ14" s="37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</row>
    <row r="15" spans="1:95" ht="14.25">
      <c r="A15" s="1">
        <f t="shared" si="0"/>
        <v>2003</v>
      </c>
      <c r="B15" s="47">
        <v>3408.282162</v>
      </c>
      <c r="F15" s="2">
        <f aca="true" t="shared" si="10" ref="F15:F72">C15+D15+E15</f>
        <v>0</v>
      </c>
      <c r="G15" s="14">
        <f t="shared" si="1"/>
        <v>914.7295120772947</v>
      </c>
      <c r="H15" s="14">
        <f t="shared" si="2"/>
        <v>914.7295120772947</v>
      </c>
      <c r="I15" s="7"/>
      <c r="J15" s="2"/>
      <c r="K15" s="2"/>
      <c r="L15" s="2"/>
      <c r="M15" s="3">
        <f aca="true" t="shared" si="11" ref="M15:M46">IF((O15-L15)&lt;G14,O15-L15,G14)</f>
        <v>300</v>
      </c>
      <c r="N15" s="3">
        <f aca="true" t="shared" si="12" ref="N15:N46">SUM(L15:M15)</f>
        <v>300</v>
      </c>
      <c r="O15" s="4">
        <f>IF(($L$2*300/800)&gt;0,$L$2*300/800,0)</f>
        <v>300</v>
      </c>
      <c r="P15" s="19"/>
      <c r="Q15" s="19"/>
      <c r="R15" s="19"/>
      <c r="S15" s="19"/>
      <c r="T15" s="19"/>
      <c r="Z15" s="20"/>
      <c r="AA15" s="20"/>
      <c r="AB15" s="31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">
        <f t="shared" si="3"/>
        <v>0</v>
      </c>
      <c r="AW15" s="2">
        <f t="shared" si="4"/>
        <v>0</v>
      </c>
      <c r="AX15" s="2">
        <f t="shared" si="5"/>
        <v>914.7295120772947</v>
      </c>
      <c r="AY15" s="2">
        <f t="shared" si="6"/>
        <v>0</v>
      </c>
      <c r="AZ15" s="19"/>
      <c r="BA15" s="2">
        <f t="shared" si="7"/>
        <v>3193.985122089954</v>
      </c>
      <c r="BB15" s="2">
        <f t="shared" si="8"/>
        <v>1959.3506148695653</v>
      </c>
      <c r="BC15" s="23"/>
      <c r="BD15" s="23"/>
      <c r="BE15" s="3">
        <f aca="true" t="shared" si="13" ref="BE15:BE46">L15+M15</f>
        <v>300</v>
      </c>
      <c r="BF15" s="34">
        <f aca="true" t="shared" si="14" ref="BF15:BF46">BE15*$CN$39/10^8/(1+$H$5)^(A15-$C$2+1)</f>
        <v>49.887653005431766</v>
      </c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3">
        <f t="shared" si="9"/>
        <v>398.50342870428017</v>
      </c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K15" s="53" t="s">
        <v>37</v>
      </c>
      <c r="CL15" s="58">
        <v>1800</v>
      </c>
      <c r="CM15" s="37">
        <v>1800</v>
      </c>
      <c r="CN15" s="37">
        <v>1800</v>
      </c>
      <c r="CO15" s="37">
        <v>1800</v>
      </c>
      <c r="CP15" s="59">
        <v>1800</v>
      </c>
      <c r="CQ15" s="37"/>
    </row>
    <row r="16" spans="1:95" ht="14.25">
      <c r="A16" s="1">
        <f t="shared" si="0"/>
        <v>2004</v>
      </c>
      <c r="B16" s="47">
        <v>3408.282162</v>
      </c>
      <c r="F16" s="2">
        <f t="shared" si="10"/>
        <v>0</v>
      </c>
      <c r="G16" s="14">
        <f t="shared" si="1"/>
        <v>914.7295120772947</v>
      </c>
      <c r="H16" s="14">
        <f t="shared" si="2"/>
        <v>914.7295120772947</v>
      </c>
      <c r="I16" s="7"/>
      <c r="J16" s="2"/>
      <c r="K16" s="2"/>
      <c r="L16" s="2"/>
      <c r="M16" s="3">
        <f t="shared" si="11"/>
        <v>350</v>
      </c>
      <c r="N16" s="3">
        <f t="shared" si="12"/>
        <v>350</v>
      </c>
      <c r="O16" s="4">
        <f>IF(($L$2*350/800)&gt;0,$L$2*350/800,0)</f>
        <v>350</v>
      </c>
      <c r="P16" s="19"/>
      <c r="Q16" s="19"/>
      <c r="R16" s="19"/>
      <c r="S16" s="19"/>
      <c r="T16" s="19"/>
      <c r="Z16" s="20"/>
      <c r="AA16" s="20"/>
      <c r="AB16" s="31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">
        <f t="shared" si="3"/>
        <v>0</v>
      </c>
      <c r="AW16" s="2">
        <f t="shared" si="4"/>
        <v>0</v>
      </c>
      <c r="AX16" s="2">
        <f t="shared" si="5"/>
        <v>914.7295120772947</v>
      </c>
      <c r="AY16" s="2">
        <f t="shared" si="6"/>
        <v>0</v>
      </c>
      <c r="AZ16" s="19"/>
      <c r="BA16" s="2">
        <f t="shared" si="7"/>
        <v>3131.357962833288</v>
      </c>
      <c r="BB16" s="2">
        <f t="shared" si="8"/>
        <v>1920.9319753623188</v>
      </c>
      <c r="BC16" s="23"/>
      <c r="BD16" s="23"/>
      <c r="BE16" s="3">
        <f t="shared" si="13"/>
        <v>350</v>
      </c>
      <c r="BF16" s="34">
        <f t="shared" si="14"/>
        <v>57.0610410192847</v>
      </c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3">
        <f t="shared" si="9"/>
        <v>390.6896359845884</v>
      </c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K16" s="53" t="s">
        <v>38</v>
      </c>
      <c r="CL16" s="60">
        <v>1600</v>
      </c>
      <c r="CM16" s="44">
        <v>1600</v>
      </c>
      <c r="CN16" s="37">
        <v>1600</v>
      </c>
      <c r="CO16" s="37">
        <v>1600</v>
      </c>
      <c r="CP16" s="59">
        <v>1600</v>
      </c>
      <c r="CQ16" s="37"/>
    </row>
    <row r="17" spans="1:95" ht="14.25">
      <c r="A17" s="1">
        <f t="shared" si="0"/>
        <v>2005</v>
      </c>
      <c r="B17" s="47">
        <v>3593.069442</v>
      </c>
      <c r="F17" s="2">
        <f t="shared" si="10"/>
        <v>0</v>
      </c>
      <c r="G17" s="14">
        <f t="shared" si="1"/>
        <v>964.3235217391306</v>
      </c>
      <c r="H17" s="14">
        <f t="shared" si="2"/>
        <v>964.3235217391306</v>
      </c>
      <c r="I17" s="7"/>
      <c r="J17" s="2"/>
      <c r="K17" s="2"/>
      <c r="L17" s="2"/>
      <c r="M17" s="3">
        <f t="shared" si="11"/>
        <v>480</v>
      </c>
      <c r="N17" s="3">
        <f t="shared" si="12"/>
        <v>480</v>
      </c>
      <c r="O17" s="4">
        <f>IF(($L$2*480/800)&gt;0,$L$2*480/800,0)</f>
        <v>480</v>
      </c>
      <c r="P17" s="19"/>
      <c r="Q17" s="19"/>
      <c r="R17" s="19"/>
      <c r="S17" s="19"/>
      <c r="T17" s="19"/>
      <c r="U17" s="3"/>
      <c r="V17" s="3"/>
      <c r="W17" s="3"/>
      <c r="X17" s="3"/>
      <c r="Y17" s="3"/>
      <c r="Z17" s="1">
        <f aca="true" t="shared" si="15" ref="Z17:Z48">M15</f>
        <v>300</v>
      </c>
      <c r="AA17" s="1">
        <f aca="true" t="shared" si="16" ref="AA17:AA48">IF($L$3&gt;0,X17,0)</f>
        <v>0</v>
      </c>
      <c r="AB17" s="15">
        <f aca="true" t="shared" si="17" ref="AB17:AB48">Z17+AA17</f>
        <v>300</v>
      </c>
      <c r="AC17" s="2">
        <f aca="true" t="shared" si="18" ref="AC17:AC48">I15</f>
        <v>0</v>
      </c>
      <c r="AD17" s="2">
        <f aca="true" t="shared" si="19" ref="AD17:AD48">IF($L$3&gt;0,U17,0)</f>
        <v>0</v>
      </c>
      <c r="AE17" s="2">
        <f aca="true" t="shared" si="20" ref="AE17:AE48">J15</f>
        <v>0</v>
      </c>
      <c r="AF17" s="2">
        <f aca="true" t="shared" si="21" ref="AF17:AF48">IF($L$3&gt;0,V17,0)</f>
        <v>0</v>
      </c>
      <c r="AG17" s="2">
        <f aca="true" t="shared" si="22" ref="AG17:AG48">K15</f>
        <v>0</v>
      </c>
      <c r="AH17" s="2">
        <f aca="true" t="shared" si="23" ref="AH17:AH48">IF($L$3&gt;0,W17,0)</f>
        <v>0</v>
      </c>
      <c r="AI17" s="2">
        <f>SUM(AC17:AH17)</f>
        <v>0</v>
      </c>
      <c r="AJ17" s="2">
        <f aca="true" t="shared" si="24" ref="AJ17:AJ48">Z17+AC17+AE17+AG17</f>
        <v>300</v>
      </c>
      <c r="AK17" s="2">
        <f aca="true" t="shared" si="25" ref="AK17:AK48">AA17+AD17+AF17+AH17</f>
        <v>0</v>
      </c>
      <c r="AL17" s="2">
        <f>AB17+AI17</f>
        <v>300</v>
      </c>
      <c r="AM17" s="2">
        <f aca="true" t="shared" si="26" ref="AM17:AM48">Z17*$H$4</f>
        <v>45</v>
      </c>
      <c r="AN17" s="2">
        <f aca="true" t="shared" si="27" ref="AN17:AN48">AA17*$H$4</f>
        <v>0</v>
      </c>
      <c r="AO17" s="2">
        <f aca="true" t="shared" si="28" ref="AO17:AO48">AC17*$H$4</f>
        <v>0</v>
      </c>
      <c r="AP17" s="2">
        <f aca="true" t="shared" si="29" ref="AP17:AP48">AD17*$H$4</f>
        <v>0</v>
      </c>
      <c r="AQ17" s="2">
        <f aca="true" t="shared" si="30" ref="AQ17:AQ48">AE17*$H$4</f>
        <v>0</v>
      </c>
      <c r="AR17" s="2">
        <f aca="true" t="shared" si="31" ref="AR17:AR48">AF17*$H$4</f>
        <v>0</v>
      </c>
      <c r="AS17" s="2">
        <f aca="true" t="shared" si="32" ref="AS17:AS48">AG17*$H$4</f>
        <v>0</v>
      </c>
      <c r="AT17" s="2">
        <f aca="true" t="shared" si="33" ref="AT17:AT48">AH17*$H$4</f>
        <v>0</v>
      </c>
      <c r="AU17" s="2">
        <f>SUM(AM17:AT17)</f>
        <v>45</v>
      </c>
      <c r="AV17" s="2">
        <f t="shared" si="3"/>
        <v>0</v>
      </c>
      <c r="AW17" s="2">
        <f t="shared" si="4"/>
        <v>0</v>
      </c>
      <c r="AX17" s="2">
        <f t="shared" si="5"/>
        <v>964.3235217391306</v>
      </c>
      <c r="AY17" s="2">
        <f t="shared" si="6"/>
        <v>0</v>
      </c>
      <c r="AZ17" s="19"/>
      <c r="BA17" s="2">
        <f t="shared" si="7"/>
        <v>3236.4031443995527</v>
      </c>
      <c r="BB17" s="2">
        <f t="shared" si="8"/>
        <v>1985.3719565217393</v>
      </c>
      <c r="BC17" s="23"/>
      <c r="BD17" s="23"/>
      <c r="BE17" s="3">
        <f t="shared" si="13"/>
        <v>480</v>
      </c>
      <c r="BF17" s="34">
        <f t="shared" si="14"/>
        <v>76.72072742088699</v>
      </c>
      <c r="BG17" s="21"/>
      <c r="BH17" s="21"/>
      <c r="BI17" s="3">
        <f>AB17+AI17</f>
        <v>300</v>
      </c>
      <c r="BJ17" s="3">
        <f aca="true" t="shared" si="34" ref="BJ17:BJ48">BI17*$CN$40/((1+$H$5)^(A17-$C$2+1))/10^8*IF(A17&lt;$L$4,1,$H$6)</f>
        <v>673.9702790793198</v>
      </c>
      <c r="BK17" s="3">
        <f>BI17</f>
        <v>300</v>
      </c>
      <c r="BL17" s="3">
        <f aca="true" t="shared" si="35" ref="BL17:BL48">BK17*$CN$41/(1+$H$5)^(A17-$C$2+1)/10^8</f>
        <v>71.92568195708155</v>
      </c>
      <c r="BM17" s="3">
        <f>AU17</f>
        <v>45</v>
      </c>
      <c r="BN17" s="3">
        <f aca="true" t="shared" si="36" ref="BN17:BN48">BM17*$CN$38/(1+$H$5)^(A17-$C$2+1)/10^8</f>
        <v>103.49306459380068</v>
      </c>
      <c r="BO17" s="3">
        <f aca="true" t="shared" si="37" ref="BO17:BO48">AJ17</f>
        <v>300</v>
      </c>
      <c r="BP17" s="3">
        <f aca="true" t="shared" si="38" ref="BP17:BP48">IF($H$5&gt;0,BO17*$CN$42/(1+$H$5)^9*(1-1/(1+$H$5)^40)/(1-1/(1+$H$5))/(1+$H$5)^(A17-8-$C$2+1)/10^8,BO17*$CN$42*40/10^8)</f>
        <v>43.723588881175054</v>
      </c>
      <c r="BQ17" s="3">
        <f>AJ17</f>
        <v>300</v>
      </c>
      <c r="BR17" s="3">
        <f>AK17</f>
        <v>0</v>
      </c>
      <c r="BS17" s="3">
        <f aca="true" t="shared" si="39" ref="BS17:BS48">BQ17*$CN$43/(1+$H$5)^48/(1+$H$5)^(A17-8-$C$2+1)/10^8+BR17*$CN$43/(1+$H$5)^(A17-$C$2+1)/10^8</f>
        <v>3.619383551558215</v>
      </c>
      <c r="BT17" s="3">
        <f t="shared" si="9"/>
        <v>403.79579128052455</v>
      </c>
      <c r="BU17" s="3">
        <f>AL17</f>
        <v>300</v>
      </c>
      <c r="BV17" s="3">
        <f aca="true" t="shared" si="40" ref="BV17:BV48">BU17*$CN$45/(1+$H$5)^(A17-$C$2+1)/10^8</f>
        <v>33.2989268319822</v>
      </c>
      <c r="BW17" s="3">
        <f>AJ17</f>
        <v>300</v>
      </c>
      <c r="BX17" s="3">
        <f aca="true" t="shared" si="41" ref="BX17:BX48">IF($H$5&gt;0,BW17*$CN$46/(1+$H$5)^9*(1-1/(1+$H$5)^12)/(1-1/(1+$H$5))/(1+$H$5)^(A17-8-$C$2+1)/10^8,BW17*$CN$46*12/10^8)</f>
        <v>29.345626128213812</v>
      </c>
      <c r="BY17" s="3">
        <f>AJ17</f>
        <v>300</v>
      </c>
      <c r="BZ17" s="3">
        <f>AK17</f>
        <v>0</v>
      </c>
      <c r="CA17" s="3">
        <f aca="true" t="shared" si="42" ref="CA17:CA48">BY17*$CN$47/(1+$H$5)^33/(1+$H$5)^(A17-8-$C$2+1)/10^8+BZ17*$CN$47/(1+$H$5)^(A17-$C$2+1)/10^8</f>
        <v>47.088399354168956</v>
      </c>
      <c r="CB17" s="3">
        <f>AJ17</f>
        <v>300</v>
      </c>
      <c r="CC17" s="3">
        <f>AK17</f>
        <v>0</v>
      </c>
      <c r="CD17" s="3">
        <f aca="true" t="shared" si="43" ref="CD17:CD48">CB17*$CN$48/(1+$H$5)^15/(1+$H$5)^(A17-8-$C$2+1)/10^8+CC17*$CN$48/(1+$H$5)^(A17-$C$2+1)/10^8</f>
        <v>23.190975752401666</v>
      </c>
      <c r="CE17" s="21"/>
      <c r="CF17" s="21"/>
      <c r="CG17" s="34">
        <f aca="true" t="shared" si="44" ref="CG17:CG48">IF($L$3&gt;0,0,X17*$CN$51/(1+$H$5)^(A17+1-$C$2+1)/10^8)</f>
        <v>0</v>
      </c>
      <c r="CH17" s="34">
        <f aca="true" t="shared" si="45" ref="CH17:CH48">IF($L$3&gt;0,0,(U17+V17+W17)*$CN$51*$L$5/(1+$H$5)^(A17+1-$C$2+1)/10^8)</f>
        <v>0</v>
      </c>
      <c r="CK17" s="53" t="s">
        <v>0</v>
      </c>
      <c r="CL17" s="60">
        <v>23400</v>
      </c>
      <c r="CM17" s="44">
        <v>24300</v>
      </c>
      <c r="CN17" s="37">
        <v>25300</v>
      </c>
      <c r="CO17" s="37">
        <v>26300</v>
      </c>
      <c r="CP17" s="59">
        <v>27300</v>
      </c>
      <c r="CQ17" s="37"/>
    </row>
    <row r="18" spans="1:95" ht="14.25">
      <c r="A18" s="1">
        <f t="shared" si="0"/>
        <v>2006</v>
      </c>
      <c r="B18" s="47">
        <v>3694.25538</v>
      </c>
      <c r="F18" s="2">
        <f t="shared" si="10"/>
        <v>0</v>
      </c>
      <c r="G18" s="14">
        <f t="shared" si="1"/>
        <v>991.4802415458937</v>
      </c>
      <c r="H18" s="14">
        <f t="shared" si="2"/>
        <v>991.4802415458937</v>
      </c>
      <c r="I18" s="7"/>
      <c r="J18" s="2"/>
      <c r="K18" s="2"/>
      <c r="L18" s="2"/>
      <c r="M18" s="3">
        <f>IF((O18-L18)&lt;G17,O18-L18,G17)</f>
        <v>640</v>
      </c>
      <c r="N18" s="3">
        <f t="shared" si="12"/>
        <v>640</v>
      </c>
      <c r="O18" s="4">
        <f>IF(($L$2*640/800)&gt;0,$L$2*640/800,0)</f>
        <v>640</v>
      </c>
      <c r="P18" s="19"/>
      <c r="Q18" s="19"/>
      <c r="R18" s="19"/>
      <c r="S18" s="19"/>
      <c r="T18" s="19"/>
      <c r="Z18" s="1">
        <f t="shared" si="15"/>
        <v>350</v>
      </c>
      <c r="AA18" s="1">
        <f t="shared" si="16"/>
        <v>0</v>
      </c>
      <c r="AB18" s="15">
        <f t="shared" si="17"/>
        <v>350</v>
      </c>
      <c r="AC18" s="2">
        <f t="shared" si="18"/>
        <v>0</v>
      </c>
      <c r="AD18" s="2">
        <f t="shared" si="19"/>
        <v>0</v>
      </c>
      <c r="AE18" s="2">
        <f t="shared" si="20"/>
        <v>0</v>
      </c>
      <c r="AF18" s="2">
        <f t="shared" si="21"/>
        <v>0</v>
      </c>
      <c r="AG18" s="2">
        <f t="shared" si="22"/>
        <v>0</v>
      </c>
      <c r="AH18" s="2">
        <f t="shared" si="23"/>
        <v>0</v>
      </c>
      <c r="AI18" s="2">
        <f aca="true" t="shared" si="46" ref="AI18:AI74">SUM(AC18:AH18)</f>
        <v>0</v>
      </c>
      <c r="AJ18" s="2">
        <f t="shared" si="24"/>
        <v>350</v>
      </c>
      <c r="AK18" s="2">
        <f t="shared" si="25"/>
        <v>0</v>
      </c>
      <c r="AL18" s="2">
        <f aca="true" t="shared" si="47" ref="AL18:AL81">AB18+AI18</f>
        <v>350</v>
      </c>
      <c r="AM18" s="2">
        <f t="shared" si="26"/>
        <v>52.5</v>
      </c>
      <c r="AN18" s="2">
        <f t="shared" si="27"/>
        <v>0</v>
      </c>
      <c r="AO18" s="2">
        <f t="shared" si="28"/>
        <v>0</v>
      </c>
      <c r="AP18" s="2">
        <f t="shared" si="29"/>
        <v>0</v>
      </c>
      <c r="AQ18" s="2">
        <f t="shared" si="30"/>
        <v>0</v>
      </c>
      <c r="AR18" s="2">
        <f t="shared" si="31"/>
        <v>0</v>
      </c>
      <c r="AS18" s="2">
        <f t="shared" si="32"/>
        <v>0</v>
      </c>
      <c r="AT18" s="2">
        <f t="shared" si="33"/>
        <v>0</v>
      </c>
      <c r="AU18" s="2">
        <f aca="true" t="shared" si="48" ref="AU18:AU67">SUM(AM18:AT18)</f>
        <v>52.5</v>
      </c>
      <c r="AV18" s="2">
        <f t="shared" si="3"/>
        <v>0</v>
      </c>
      <c r="AW18" s="2">
        <f t="shared" si="4"/>
        <v>0</v>
      </c>
      <c r="AX18" s="2">
        <f t="shared" si="5"/>
        <v>991.4802415458937</v>
      </c>
      <c r="AY18" s="2">
        <f t="shared" si="6"/>
        <v>0</v>
      </c>
      <c r="AZ18" s="19"/>
      <c r="BA18" s="2">
        <f t="shared" si="7"/>
        <v>3262.2988754487983</v>
      </c>
      <c r="BB18" s="2">
        <f t="shared" si="8"/>
        <v>2001.2576963152408</v>
      </c>
      <c r="BC18" s="23"/>
      <c r="BD18" s="23"/>
      <c r="BE18" s="3">
        <f t="shared" si="13"/>
        <v>640</v>
      </c>
      <c r="BF18" s="34">
        <f t="shared" si="14"/>
        <v>100.28853257632288</v>
      </c>
      <c r="BG18" s="21"/>
      <c r="BH18" s="21"/>
      <c r="BI18" s="3">
        <f aca="true" t="shared" si="49" ref="BI18:BI81">AB18+AI18</f>
        <v>350</v>
      </c>
      <c r="BJ18" s="3">
        <f t="shared" si="34"/>
        <v>770.8810381626208</v>
      </c>
      <c r="BK18" s="3">
        <f aca="true" t="shared" si="50" ref="BK18:BK81">BI18</f>
        <v>350</v>
      </c>
      <c r="BL18" s="3">
        <f t="shared" si="35"/>
        <v>82.26793687901487</v>
      </c>
      <c r="BM18" s="3">
        <f aca="true" t="shared" si="51" ref="BM18:BM67">AU18</f>
        <v>52.5</v>
      </c>
      <c r="BN18" s="3">
        <f t="shared" si="36"/>
        <v>118.37442028702694</v>
      </c>
      <c r="BO18" s="3">
        <f t="shared" si="37"/>
        <v>350</v>
      </c>
      <c r="BP18" s="3">
        <f t="shared" si="38"/>
        <v>50.010640877160995</v>
      </c>
      <c r="BQ18" s="3">
        <f aca="true" t="shared" si="52" ref="BQ18:BQ49">AJ18</f>
        <v>350</v>
      </c>
      <c r="BR18" s="3">
        <f aca="true" t="shared" si="53" ref="BR18:BR81">AK18</f>
        <v>0</v>
      </c>
      <c r="BS18" s="3">
        <f t="shared" si="39"/>
        <v>4.139817787729985</v>
      </c>
      <c r="BT18" s="3">
        <f t="shared" si="9"/>
        <v>407.02671979692775</v>
      </c>
      <c r="BU18" s="3">
        <f aca="true" t="shared" si="54" ref="BU18:BU81">AL18</f>
        <v>350</v>
      </c>
      <c r="BV18" s="3">
        <f t="shared" si="40"/>
        <v>38.087007814358735</v>
      </c>
      <c r="BW18" s="3">
        <f aca="true" t="shared" si="55" ref="BW18:BW48">AJ18</f>
        <v>350</v>
      </c>
      <c r="BX18" s="3">
        <f t="shared" si="41"/>
        <v>33.5652586433818</v>
      </c>
      <c r="BY18" s="3">
        <f aca="true" t="shared" si="56" ref="BY18:BY49">AJ18</f>
        <v>350</v>
      </c>
      <c r="BZ18" s="3">
        <f aca="true" t="shared" si="57" ref="BZ18:BZ81">AK18</f>
        <v>0</v>
      </c>
      <c r="CA18" s="3">
        <f t="shared" si="42"/>
        <v>53.85928030705601</v>
      </c>
      <c r="CB18" s="3">
        <f aca="true" t="shared" si="58" ref="CB18:CB49">AJ18</f>
        <v>350</v>
      </c>
      <c r="CC18" s="3">
        <f aca="true" t="shared" si="59" ref="CC18:CC81">AK18</f>
        <v>0</v>
      </c>
      <c r="CD18" s="3">
        <f t="shared" si="43"/>
        <v>26.52562586059014</v>
      </c>
      <c r="CE18" s="21"/>
      <c r="CF18" s="21"/>
      <c r="CG18" s="34">
        <f t="shared" si="44"/>
        <v>0</v>
      </c>
      <c r="CH18" s="34">
        <f t="shared" si="45"/>
        <v>0</v>
      </c>
      <c r="CK18" s="53" t="s">
        <v>39</v>
      </c>
      <c r="CL18" s="60">
        <v>4800</v>
      </c>
      <c r="CM18" s="44">
        <v>3600</v>
      </c>
      <c r="CN18" s="37">
        <v>2700</v>
      </c>
      <c r="CO18" s="37">
        <v>2000</v>
      </c>
      <c r="CP18" s="59">
        <v>1400</v>
      </c>
      <c r="CQ18" s="37"/>
    </row>
    <row r="19" spans="1:95" ht="14.25">
      <c r="A19" s="1">
        <f t="shared" si="0"/>
        <v>2007</v>
      </c>
      <c r="B19" s="47">
        <v>3711.7312776</v>
      </c>
      <c r="F19" s="2">
        <f t="shared" si="10"/>
        <v>0</v>
      </c>
      <c r="G19" s="14">
        <f t="shared" si="1"/>
        <v>996.1704985507245</v>
      </c>
      <c r="H19" s="14">
        <f t="shared" si="2"/>
        <v>996.1704985507245</v>
      </c>
      <c r="I19" s="7"/>
      <c r="J19" s="2"/>
      <c r="K19" s="2"/>
      <c r="L19" s="2"/>
      <c r="M19" s="3">
        <f t="shared" si="11"/>
        <v>800</v>
      </c>
      <c r="N19" s="3">
        <f t="shared" si="12"/>
        <v>800</v>
      </c>
      <c r="O19" s="2">
        <f>IF((A19+2)&lt;$L$4,IF(($L$2-Y21)&gt;0,$L$2-Y21,0),IF(($L$3-Y21)&gt;0,$L$3-Y21,0))</f>
        <v>800</v>
      </c>
      <c r="P19" s="14">
        <f aca="true" t="shared" si="60" ref="P19:P50">C14-I15</f>
        <v>0</v>
      </c>
      <c r="Q19" s="14">
        <f aca="true" t="shared" si="61" ref="Q19:Q50">D14-J15</f>
        <v>0</v>
      </c>
      <c r="R19" s="14">
        <f aca="true" t="shared" si="62" ref="R19:R50">E14-K15</f>
        <v>0</v>
      </c>
      <c r="S19" s="14">
        <f aca="true" t="shared" si="63" ref="S19:S50">G14-M15</f>
        <v>614.7295120772947</v>
      </c>
      <c r="T19" s="14">
        <f>SUM(P19:S19)</f>
        <v>614.7295120772947</v>
      </c>
      <c r="Z19" s="1">
        <f>M17</f>
        <v>480</v>
      </c>
      <c r="AA19" s="1">
        <f t="shared" si="16"/>
        <v>0</v>
      </c>
      <c r="AB19" s="15">
        <f t="shared" si="17"/>
        <v>480</v>
      </c>
      <c r="AC19" s="2">
        <f t="shared" si="18"/>
        <v>0</v>
      </c>
      <c r="AD19" s="2">
        <f t="shared" si="19"/>
        <v>0</v>
      </c>
      <c r="AE19" s="2">
        <f t="shared" si="20"/>
        <v>0</v>
      </c>
      <c r="AF19" s="2">
        <f t="shared" si="21"/>
        <v>0</v>
      </c>
      <c r="AG19" s="2">
        <f t="shared" si="22"/>
        <v>0</v>
      </c>
      <c r="AH19" s="2">
        <f t="shared" si="23"/>
        <v>0</v>
      </c>
      <c r="AI19" s="2">
        <f t="shared" si="46"/>
        <v>0</v>
      </c>
      <c r="AJ19" s="2">
        <f t="shared" si="24"/>
        <v>480</v>
      </c>
      <c r="AK19" s="2">
        <f t="shared" si="25"/>
        <v>0</v>
      </c>
      <c r="AL19" s="2">
        <f t="shared" si="47"/>
        <v>480</v>
      </c>
      <c r="AM19" s="2">
        <f t="shared" si="26"/>
        <v>72</v>
      </c>
      <c r="AN19" s="2">
        <f t="shared" si="27"/>
        <v>0</v>
      </c>
      <c r="AO19" s="2">
        <f t="shared" si="28"/>
        <v>0</v>
      </c>
      <c r="AP19" s="2">
        <f t="shared" si="29"/>
        <v>0</v>
      </c>
      <c r="AQ19" s="2">
        <f t="shared" si="30"/>
        <v>0</v>
      </c>
      <c r="AR19" s="2">
        <f t="shared" si="31"/>
        <v>0</v>
      </c>
      <c r="AS19" s="2">
        <f t="shared" si="32"/>
        <v>0</v>
      </c>
      <c r="AT19" s="2">
        <f t="shared" si="33"/>
        <v>0</v>
      </c>
      <c r="AU19" s="2">
        <f t="shared" si="48"/>
        <v>72</v>
      </c>
      <c r="AV19" s="2">
        <f t="shared" si="3"/>
        <v>0</v>
      </c>
      <c r="AW19" s="2">
        <f t="shared" si="4"/>
        <v>0</v>
      </c>
      <c r="AX19" s="2">
        <f t="shared" si="5"/>
        <v>996.1704985507245</v>
      </c>
      <c r="AY19" s="2">
        <f t="shared" si="6"/>
        <v>0</v>
      </c>
      <c r="AZ19" s="19"/>
      <c r="BA19" s="2">
        <f t="shared" si="7"/>
        <v>3213.4621341028933</v>
      </c>
      <c r="BB19" s="2">
        <f t="shared" si="8"/>
        <v>1971.298790582545</v>
      </c>
      <c r="BC19" s="4">
        <f>T19</f>
        <v>614.7295120772947</v>
      </c>
      <c r="BD19" s="11">
        <f aca="true" t="shared" si="64" ref="BD19:BD50">BC19*$CN$49/10^8/(1+$H$5)^(A19-$C$2+1)</f>
        <v>83.94651511109863</v>
      </c>
      <c r="BE19" s="3">
        <f t="shared" si="13"/>
        <v>800</v>
      </c>
      <c r="BF19" s="34">
        <f t="shared" si="14"/>
        <v>122.90261345137607</v>
      </c>
      <c r="BG19" s="3">
        <f>Y19</f>
        <v>0</v>
      </c>
      <c r="BH19" s="34">
        <f aca="true" t="shared" si="65" ref="BH19:BH50">BG19*$CN$49/10^8/(1+$H$5)^(A19-$C$2+1)</f>
        <v>0</v>
      </c>
      <c r="BI19" s="3">
        <f t="shared" si="49"/>
        <v>480</v>
      </c>
      <c r="BJ19" s="3">
        <f t="shared" si="34"/>
        <v>1036.4787067732716</v>
      </c>
      <c r="BK19" s="3">
        <f t="shared" si="50"/>
        <v>480</v>
      </c>
      <c r="BL19" s="3">
        <f t="shared" si="35"/>
        <v>110.61235210623846</v>
      </c>
      <c r="BM19" s="3">
        <f t="shared" si="51"/>
        <v>72</v>
      </c>
      <c r="BN19" s="3">
        <f t="shared" si="36"/>
        <v>159.158884419532</v>
      </c>
      <c r="BO19" s="3">
        <f t="shared" si="37"/>
        <v>480</v>
      </c>
      <c r="BP19" s="3">
        <f t="shared" si="38"/>
        <v>67.2411978180316</v>
      </c>
      <c r="BQ19" s="3">
        <f t="shared" si="52"/>
        <v>480</v>
      </c>
      <c r="BR19" s="3">
        <f t="shared" si="53"/>
        <v>0</v>
      </c>
      <c r="BS19" s="3">
        <f t="shared" si="39"/>
        <v>5.566141563334434</v>
      </c>
      <c r="BT19" s="3">
        <f t="shared" si="9"/>
        <v>400.93351393366663</v>
      </c>
      <c r="BU19" s="3">
        <f t="shared" si="54"/>
        <v>480</v>
      </c>
      <c r="BV19" s="3">
        <f t="shared" si="40"/>
        <v>51.2094222714067</v>
      </c>
      <c r="BW19" s="3">
        <f t="shared" si="55"/>
        <v>480</v>
      </c>
      <c r="BX19" s="3">
        <f t="shared" si="41"/>
        <v>45.12975952051336</v>
      </c>
      <c r="BY19" s="3">
        <f t="shared" si="56"/>
        <v>480</v>
      </c>
      <c r="BZ19" s="3">
        <f t="shared" si="57"/>
        <v>0</v>
      </c>
      <c r="CA19" s="3">
        <f t="shared" si="42"/>
        <v>72.41583906831059</v>
      </c>
      <c r="CB19" s="3">
        <f t="shared" si="58"/>
        <v>480</v>
      </c>
      <c r="CC19" s="3">
        <f t="shared" si="59"/>
        <v>0</v>
      </c>
      <c r="CD19" s="3">
        <f t="shared" si="43"/>
        <v>35.66470703944893</v>
      </c>
      <c r="CE19" s="3">
        <f>T19</f>
        <v>614.7295120772947</v>
      </c>
      <c r="CF19" s="3">
        <f aca="true" t="shared" si="66" ref="CF19:CF50">IF($L$3&gt;0,IF($H$5&gt;0,CE19*$CN$50/(1+$H$5)*(1-1/(1+$H$5)^40)/(1-1/(1+$H$5))/(1+$H$5)^(A19-$C$2+1)/10^8,CE19*$CN$50*40/10^8),IF($H$5&gt;0,CE19*$CN$50/(1+$H$5)*(1-1/(1+$H$5)^48)/(1-1/(1+$H$5))/(1+$H$5)^(A19-$C$2+1)/10^8,CE19*$CN$50*48/10^8))</f>
        <v>193.75850965392854</v>
      </c>
      <c r="CG19" s="34">
        <f t="shared" si="44"/>
        <v>0</v>
      </c>
      <c r="CH19" s="34">
        <f t="shared" si="45"/>
        <v>0</v>
      </c>
      <c r="CK19" s="53" t="s">
        <v>2</v>
      </c>
      <c r="CL19" s="60">
        <v>2300</v>
      </c>
      <c r="CM19" s="44">
        <v>2400</v>
      </c>
      <c r="CN19" s="37">
        <v>2400</v>
      </c>
      <c r="CO19" s="37">
        <v>2500</v>
      </c>
      <c r="CP19" s="59">
        <v>2600</v>
      </c>
      <c r="CQ19" s="37"/>
    </row>
    <row r="20" spans="1:95" ht="14.25">
      <c r="A20" s="1">
        <f t="shared" si="0"/>
        <v>2008</v>
      </c>
      <c r="B20" s="47">
        <v>3711.7312776</v>
      </c>
      <c r="F20" s="2">
        <f t="shared" si="10"/>
        <v>0</v>
      </c>
      <c r="G20" s="14">
        <f t="shared" si="1"/>
        <v>996.1704985507245</v>
      </c>
      <c r="H20" s="14">
        <f t="shared" si="2"/>
        <v>996.1704985507245</v>
      </c>
      <c r="I20" s="7"/>
      <c r="J20" s="2"/>
      <c r="K20" s="2"/>
      <c r="L20" s="2"/>
      <c r="M20" s="3">
        <f t="shared" si="11"/>
        <v>800</v>
      </c>
      <c r="N20" s="3">
        <f t="shared" si="12"/>
        <v>800</v>
      </c>
      <c r="O20" s="2">
        <f aca="true" t="shared" si="67" ref="O20:O73">IF((A20+2)&lt;$L$4,IF(($L$2-Y22)&gt;0,$L$2-Y22,0),IF(($L$3-Y22)&gt;0,$L$3-Y22,0))</f>
        <v>800</v>
      </c>
      <c r="P20" s="14">
        <f t="shared" si="60"/>
        <v>0</v>
      </c>
      <c r="Q20" s="14">
        <f t="shared" si="61"/>
        <v>0</v>
      </c>
      <c r="R20" s="14">
        <f t="shared" si="62"/>
        <v>0</v>
      </c>
      <c r="S20" s="14">
        <f t="shared" si="63"/>
        <v>564.7295120772947</v>
      </c>
      <c r="T20" s="14">
        <f aca="true" t="shared" si="68" ref="T20:T77">SUM(P20:S20)</f>
        <v>564.7295120772947</v>
      </c>
      <c r="Z20" s="1">
        <f t="shared" si="15"/>
        <v>640</v>
      </c>
      <c r="AA20" s="1">
        <f t="shared" si="16"/>
        <v>0</v>
      </c>
      <c r="AB20" s="15">
        <f t="shared" si="17"/>
        <v>640</v>
      </c>
      <c r="AC20" s="2">
        <f t="shared" si="18"/>
        <v>0</v>
      </c>
      <c r="AD20" s="2">
        <f t="shared" si="19"/>
        <v>0</v>
      </c>
      <c r="AE20" s="2">
        <f t="shared" si="20"/>
        <v>0</v>
      </c>
      <c r="AF20" s="2">
        <f t="shared" si="21"/>
        <v>0</v>
      </c>
      <c r="AG20" s="2">
        <f t="shared" si="22"/>
        <v>0</v>
      </c>
      <c r="AH20" s="2">
        <f t="shared" si="23"/>
        <v>0</v>
      </c>
      <c r="AI20" s="2">
        <f t="shared" si="46"/>
        <v>0</v>
      </c>
      <c r="AJ20" s="2">
        <f t="shared" si="24"/>
        <v>640</v>
      </c>
      <c r="AK20" s="2">
        <f t="shared" si="25"/>
        <v>0</v>
      </c>
      <c r="AL20" s="2">
        <f t="shared" si="47"/>
        <v>640</v>
      </c>
      <c r="AM20" s="2">
        <f t="shared" si="26"/>
        <v>96</v>
      </c>
      <c r="AN20" s="2">
        <f t="shared" si="27"/>
        <v>0</v>
      </c>
      <c r="AO20" s="2">
        <f t="shared" si="28"/>
        <v>0</v>
      </c>
      <c r="AP20" s="2">
        <f t="shared" si="29"/>
        <v>0</v>
      </c>
      <c r="AQ20" s="2">
        <f t="shared" si="30"/>
        <v>0</v>
      </c>
      <c r="AR20" s="2">
        <f t="shared" si="31"/>
        <v>0</v>
      </c>
      <c r="AS20" s="2">
        <f t="shared" si="32"/>
        <v>0</v>
      </c>
      <c r="AT20" s="2">
        <f t="shared" si="33"/>
        <v>0</v>
      </c>
      <c r="AU20" s="2">
        <f t="shared" si="48"/>
        <v>96</v>
      </c>
      <c r="AV20" s="2">
        <f t="shared" si="3"/>
        <v>0</v>
      </c>
      <c r="AW20" s="2">
        <f t="shared" si="4"/>
        <v>0</v>
      </c>
      <c r="AX20" s="2">
        <f t="shared" si="5"/>
        <v>996.1704985507245</v>
      </c>
      <c r="AY20" s="2">
        <f t="shared" si="6"/>
        <v>0</v>
      </c>
      <c r="AZ20" s="19"/>
      <c r="BA20" s="2">
        <f t="shared" si="7"/>
        <v>3150.453072649895</v>
      </c>
      <c r="BB20" s="2">
        <f t="shared" si="8"/>
        <v>1932.6458731201421</v>
      </c>
      <c r="BC20" s="4">
        <f aca="true" t="shared" si="69" ref="BC20:BC77">T20</f>
        <v>564.7295120772947</v>
      </c>
      <c r="BD20" s="11">
        <f t="shared" si="64"/>
        <v>75.60646288389974</v>
      </c>
      <c r="BE20" s="3">
        <f t="shared" si="13"/>
        <v>800</v>
      </c>
      <c r="BF20" s="34">
        <f t="shared" si="14"/>
        <v>120.49275828566282</v>
      </c>
      <c r="BG20" s="3">
        <f>Y20</f>
        <v>0</v>
      </c>
      <c r="BH20" s="34">
        <f t="shared" si="65"/>
        <v>0</v>
      </c>
      <c r="BI20" s="3">
        <f t="shared" si="49"/>
        <v>640</v>
      </c>
      <c r="BJ20" s="3">
        <f t="shared" si="34"/>
        <v>1354.8741265010085</v>
      </c>
      <c r="BK20" s="3">
        <f t="shared" si="50"/>
        <v>640</v>
      </c>
      <c r="BL20" s="3">
        <f t="shared" si="35"/>
        <v>144.59130994279536</v>
      </c>
      <c r="BM20" s="3">
        <f t="shared" si="51"/>
        <v>96</v>
      </c>
      <c r="BN20" s="3">
        <f t="shared" si="36"/>
        <v>208.0508293065778</v>
      </c>
      <c r="BO20" s="3">
        <f t="shared" si="37"/>
        <v>640</v>
      </c>
      <c r="BP20" s="3">
        <f t="shared" si="38"/>
        <v>87.89699061180599</v>
      </c>
      <c r="BQ20" s="3">
        <f t="shared" si="52"/>
        <v>640</v>
      </c>
      <c r="BR20" s="3">
        <f t="shared" si="53"/>
        <v>0</v>
      </c>
      <c r="BS20" s="3">
        <f t="shared" si="39"/>
        <v>7.276002043574422</v>
      </c>
      <c r="BT20" s="3">
        <f t="shared" si="9"/>
        <v>393.07207248398686</v>
      </c>
      <c r="BU20" s="3">
        <f t="shared" si="54"/>
        <v>640</v>
      </c>
      <c r="BV20" s="3">
        <f t="shared" si="40"/>
        <v>66.94042126981267</v>
      </c>
      <c r="BW20" s="3">
        <f t="shared" si="55"/>
        <v>640</v>
      </c>
      <c r="BX20" s="3">
        <f t="shared" si="41"/>
        <v>58.993149700017455</v>
      </c>
      <c r="BY20" s="3">
        <f t="shared" si="56"/>
        <v>640</v>
      </c>
      <c r="BZ20" s="3">
        <f t="shared" si="57"/>
        <v>0</v>
      </c>
      <c r="CA20" s="3">
        <f t="shared" si="42"/>
        <v>94.66122754027529</v>
      </c>
      <c r="CB20" s="3">
        <f t="shared" si="58"/>
        <v>640</v>
      </c>
      <c r="CC20" s="3">
        <f t="shared" si="59"/>
        <v>0</v>
      </c>
      <c r="CD20" s="3">
        <f t="shared" si="43"/>
        <v>46.62053207771101</v>
      </c>
      <c r="CE20" s="3">
        <f aca="true" t="shared" si="70" ref="CE20:CE77">T20</f>
        <v>564.7295120772947</v>
      </c>
      <c r="CF20" s="3">
        <f t="shared" si="66"/>
        <v>174.50868030914447</v>
      </c>
      <c r="CG20" s="34">
        <f t="shared" si="44"/>
        <v>0</v>
      </c>
      <c r="CH20" s="34">
        <f t="shared" si="45"/>
        <v>0</v>
      </c>
      <c r="CK20" s="53" t="s">
        <v>3</v>
      </c>
      <c r="CL20" s="60">
        <v>300</v>
      </c>
      <c r="CM20" s="44">
        <v>300</v>
      </c>
      <c r="CN20" s="37">
        <v>300</v>
      </c>
      <c r="CO20" s="37">
        <v>300</v>
      </c>
      <c r="CP20" s="59">
        <v>300</v>
      </c>
      <c r="CQ20" s="37"/>
    </row>
    <row r="21" spans="1:95" ht="14.25">
      <c r="A21" s="1">
        <f t="shared" si="0"/>
        <v>2009</v>
      </c>
      <c r="B21" s="47">
        <v>3779.6853096</v>
      </c>
      <c r="F21" s="2">
        <f t="shared" si="10"/>
        <v>0</v>
      </c>
      <c r="G21" s="14">
        <f t="shared" si="1"/>
        <v>1014.4082956521742</v>
      </c>
      <c r="H21" s="14">
        <f t="shared" si="2"/>
        <v>1014.4082956521742</v>
      </c>
      <c r="I21" s="7"/>
      <c r="J21" s="2"/>
      <c r="K21" s="2"/>
      <c r="L21" s="2"/>
      <c r="M21" s="3">
        <f t="shared" si="11"/>
        <v>800</v>
      </c>
      <c r="N21" s="3">
        <f t="shared" si="12"/>
        <v>800</v>
      </c>
      <c r="O21" s="2">
        <f t="shared" si="67"/>
        <v>800</v>
      </c>
      <c r="P21" s="14">
        <f t="shared" si="60"/>
        <v>0</v>
      </c>
      <c r="Q21" s="14">
        <f t="shared" si="61"/>
        <v>0</v>
      </c>
      <c r="R21" s="14">
        <f t="shared" si="62"/>
        <v>0</v>
      </c>
      <c r="S21" s="14">
        <f t="shared" si="63"/>
        <v>434.72951207729466</v>
      </c>
      <c r="T21" s="14">
        <f t="shared" si="68"/>
        <v>434.72951207729466</v>
      </c>
      <c r="Z21" s="1">
        <f t="shared" si="15"/>
        <v>800</v>
      </c>
      <c r="AA21" s="1">
        <f t="shared" si="16"/>
        <v>0</v>
      </c>
      <c r="AB21" s="15">
        <f t="shared" si="17"/>
        <v>800</v>
      </c>
      <c r="AC21" s="2">
        <f t="shared" si="18"/>
        <v>0</v>
      </c>
      <c r="AD21" s="2">
        <f t="shared" si="19"/>
        <v>0</v>
      </c>
      <c r="AE21" s="2">
        <f t="shared" si="20"/>
        <v>0</v>
      </c>
      <c r="AF21" s="2">
        <f t="shared" si="21"/>
        <v>0</v>
      </c>
      <c r="AG21" s="2">
        <f t="shared" si="22"/>
        <v>0</v>
      </c>
      <c r="AH21" s="2">
        <f t="shared" si="23"/>
        <v>0</v>
      </c>
      <c r="AI21" s="2">
        <f t="shared" si="46"/>
        <v>0</v>
      </c>
      <c r="AJ21" s="2">
        <f t="shared" si="24"/>
        <v>800</v>
      </c>
      <c r="AK21" s="2">
        <f t="shared" si="25"/>
        <v>0</v>
      </c>
      <c r="AL21" s="2">
        <f t="shared" si="47"/>
        <v>800</v>
      </c>
      <c r="AM21" s="2">
        <f t="shared" si="26"/>
        <v>120</v>
      </c>
      <c r="AN21" s="2">
        <f t="shared" si="27"/>
        <v>0</v>
      </c>
      <c r="AO21" s="2">
        <f t="shared" si="28"/>
        <v>0</v>
      </c>
      <c r="AP21" s="2">
        <f t="shared" si="29"/>
        <v>0</v>
      </c>
      <c r="AQ21" s="2">
        <f t="shared" si="30"/>
        <v>0</v>
      </c>
      <c r="AR21" s="2">
        <f t="shared" si="31"/>
        <v>0</v>
      </c>
      <c r="AS21" s="2">
        <f t="shared" si="32"/>
        <v>0</v>
      </c>
      <c r="AT21" s="2">
        <f t="shared" si="33"/>
        <v>0</v>
      </c>
      <c r="AU21" s="2">
        <f t="shared" si="48"/>
        <v>120</v>
      </c>
      <c r="AV21" s="2">
        <f t="shared" si="3"/>
        <v>0</v>
      </c>
      <c r="AW21" s="2">
        <f t="shared" si="4"/>
        <v>0</v>
      </c>
      <c r="AX21" s="2">
        <f t="shared" si="5"/>
        <v>1014.4082956521742</v>
      </c>
      <c r="AY21" s="2">
        <f t="shared" si="6"/>
        <v>0</v>
      </c>
      <c r="AZ21" s="19"/>
      <c r="BA21" s="2">
        <f t="shared" si="7"/>
        <v>3145.226740516928</v>
      </c>
      <c r="BB21" s="2">
        <f t="shared" si="8"/>
        <v>1929.4397789503796</v>
      </c>
      <c r="BC21" s="4">
        <f t="shared" si="69"/>
        <v>434.72951207729466</v>
      </c>
      <c r="BD21" s="11">
        <f t="shared" si="64"/>
        <v>57.06073858210631</v>
      </c>
      <c r="BE21" s="3">
        <f t="shared" si="13"/>
        <v>800</v>
      </c>
      <c r="BF21" s="34">
        <f t="shared" si="14"/>
        <v>118.13015518202236</v>
      </c>
      <c r="BG21" s="3">
        <f>Y21</f>
        <v>0</v>
      </c>
      <c r="BH21" s="34">
        <f t="shared" si="65"/>
        <v>0</v>
      </c>
      <c r="BI21" s="3">
        <f t="shared" si="49"/>
        <v>800</v>
      </c>
      <c r="BJ21" s="3">
        <f t="shared" si="34"/>
        <v>1660.3849589473145</v>
      </c>
      <c r="BK21" s="3">
        <f t="shared" si="50"/>
        <v>800</v>
      </c>
      <c r="BL21" s="3">
        <f t="shared" si="35"/>
        <v>177.19523277303355</v>
      </c>
      <c r="BM21" s="3">
        <f t="shared" si="51"/>
        <v>120</v>
      </c>
      <c r="BN21" s="3">
        <f t="shared" si="36"/>
        <v>254.96425160119827</v>
      </c>
      <c r="BO21" s="3">
        <f t="shared" si="37"/>
        <v>800</v>
      </c>
      <c r="BP21" s="3">
        <f t="shared" si="38"/>
        <v>107.71690025956619</v>
      </c>
      <c r="BQ21" s="3">
        <f t="shared" si="52"/>
        <v>800</v>
      </c>
      <c r="BR21" s="3">
        <f t="shared" si="53"/>
        <v>0</v>
      </c>
      <c r="BS21" s="3">
        <f t="shared" si="39"/>
        <v>8.916669171047086</v>
      </c>
      <c r="BT21" s="3">
        <f t="shared" si="9"/>
        <v>392.4199995422156</v>
      </c>
      <c r="BU21" s="3">
        <f t="shared" si="54"/>
        <v>800</v>
      </c>
      <c r="BV21" s="3">
        <f t="shared" si="40"/>
        <v>82.03482998751552</v>
      </c>
      <c r="BW21" s="3">
        <f t="shared" si="55"/>
        <v>800</v>
      </c>
      <c r="BX21" s="3">
        <f t="shared" si="41"/>
        <v>72.29552659315864</v>
      </c>
      <c r="BY21" s="3">
        <f t="shared" si="56"/>
        <v>800</v>
      </c>
      <c r="BZ21" s="3">
        <f t="shared" si="57"/>
        <v>0</v>
      </c>
      <c r="CA21" s="3">
        <f t="shared" si="42"/>
        <v>116.00640629935698</v>
      </c>
      <c r="CB21" s="3">
        <f t="shared" si="58"/>
        <v>800</v>
      </c>
      <c r="CC21" s="3">
        <f t="shared" si="59"/>
        <v>0</v>
      </c>
      <c r="CD21" s="3">
        <f t="shared" si="43"/>
        <v>57.133004997194874</v>
      </c>
      <c r="CE21" s="3">
        <f t="shared" si="70"/>
        <v>434.72951207729466</v>
      </c>
      <c r="CF21" s="3">
        <f t="shared" si="66"/>
        <v>131.7029498221495</v>
      </c>
      <c r="CG21" s="34">
        <f t="shared" si="44"/>
        <v>0</v>
      </c>
      <c r="CH21" s="34">
        <f t="shared" si="45"/>
        <v>0</v>
      </c>
      <c r="CK21" s="17" t="s">
        <v>118</v>
      </c>
      <c r="CL21" s="60">
        <v>2400</v>
      </c>
      <c r="CM21" s="44">
        <v>2500</v>
      </c>
      <c r="CN21" s="37">
        <v>2500</v>
      </c>
      <c r="CO21" s="37">
        <v>2500</v>
      </c>
      <c r="CP21" s="59">
        <v>2600</v>
      </c>
      <c r="CQ21" s="37"/>
    </row>
    <row r="22" spans="1:95" ht="14.25">
      <c r="A22" s="1">
        <f t="shared" si="0"/>
        <v>2010</v>
      </c>
      <c r="B22" s="47">
        <v>3753.0848826</v>
      </c>
      <c r="C22" s="2">
        <f>(AM17+AN17)</f>
        <v>45</v>
      </c>
      <c r="F22" s="2">
        <f>C22+D22+E22</f>
        <v>45</v>
      </c>
      <c r="G22" s="14">
        <f t="shared" si="1"/>
        <v>967.2691579710146</v>
      </c>
      <c r="H22" s="14">
        <f t="shared" si="2"/>
        <v>1012.2691579710146</v>
      </c>
      <c r="I22" s="7"/>
      <c r="J22" s="2"/>
      <c r="K22" s="2"/>
      <c r="L22" s="2"/>
      <c r="M22" s="3">
        <f t="shared" si="11"/>
        <v>800</v>
      </c>
      <c r="N22" s="3">
        <f t="shared" si="12"/>
        <v>800</v>
      </c>
      <c r="O22" s="2">
        <f t="shared" si="67"/>
        <v>800</v>
      </c>
      <c r="P22" s="14">
        <f t="shared" si="60"/>
        <v>0</v>
      </c>
      <c r="Q22" s="14">
        <f t="shared" si="61"/>
        <v>0</v>
      </c>
      <c r="R22" s="14">
        <f t="shared" si="62"/>
        <v>0</v>
      </c>
      <c r="S22" s="14">
        <f t="shared" si="63"/>
        <v>324.32352173913057</v>
      </c>
      <c r="T22" s="14">
        <f t="shared" si="68"/>
        <v>324.32352173913057</v>
      </c>
      <c r="U22" s="13"/>
      <c r="V22" s="13"/>
      <c r="W22" s="13"/>
      <c r="X22" s="13"/>
      <c r="Y22" s="13"/>
      <c r="Z22" s="1">
        <f t="shared" si="15"/>
        <v>800</v>
      </c>
      <c r="AA22" s="1">
        <f t="shared" si="16"/>
        <v>0</v>
      </c>
      <c r="AB22" s="15">
        <f t="shared" si="17"/>
        <v>800</v>
      </c>
      <c r="AC22" s="2">
        <f t="shared" si="18"/>
        <v>0</v>
      </c>
      <c r="AD22" s="2">
        <f t="shared" si="19"/>
        <v>0</v>
      </c>
      <c r="AE22" s="2">
        <f t="shared" si="20"/>
        <v>0</v>
      </c>
      <c r="AF22" s="2">
        <f t="shared" si="21"/>
        <v>0</v>
      </c>
      <c r="AG22" s="2">
        <f t="shared" si="22"/>
        <v>0</v>
      </c>
      <c r="AH22" s="2">
        <f t="shared" si="23"/>
        <v>0</v>
      </c>
      <c r="AI22" s="2">
        <f t="shared" si="46"/>
        <v>0</v>
      </c>
      <c r="AJ22" s="2">
        <f t="shared" si="24"/>
        <v>800</v>
      </c>
      <c r="AK22" s="2">
        <f t="shared" si="25"/>
        <v>0</v>
      </c>
      <c r="AL22" s="2">
        <f t="shared" si="47"/>
        <v>800</v>
      </c>
      <c r="AM22" s="2">
        <f t="shared" si="26"/>
        <v>120</v>
      </c>
      <c r="AN22" s="2">
        <f t="shared" si="27"/>
        <v>0</v>
      </c>
      <c r="AO22" s="2">
        <f t="shared" si="28"/>
        <v>0</v>
      </c>
      <c r="AP22" s="2">
        <f t="shared" si="29"/>
        <v>0</v>
      </c>
      <c r="AQ22" s="2">
        <f t="shared" si="30"/>
        <v>0</v>
      </c>
      <c r="AR22" s="2">
        <f t="shared" si="31"/>
        <v>0</v>
      </c>
      <c r="AS22" s="2">
        <f t="shared" si="32"/>
        <v>0</v>
      </c>
      <c r="AT22" s="2">
        <f t="shared" si="33"/>
        <v>0</v>
      </c>
      <c r="AU22" s="2">
        <f t="shared" si="48"/>
        <v>120</v>
      </c>
      <c r="AV22" s="2">
        <f t="shared" si="3"/>
        <v>0</v>
      </c>
      <c r="AW22" s="2">
        <f t="shared" si="4"/>
        <v>0</v>
      </c>
      <c r="AX22" s="2">
        <f t="shared" si="5"/>
        <v>967.2691579710146</v>
      </c>
      <c r="AY22" s="2">
        <f t="shared" si="6"/>
        <v>45</v>
      </c>
      <c r="AZ22" s="19"/>
      <c r="BA22" s="2">
        <f t="shared" si="7"/>
        <v>3061.8543778104126</v>
      </c>
      <c r="BB22" s="2">
        <f t="shared" si="8"/>
        <v>1803.7053954141513</v>
      </c>
      <c r="BC22" s="4">
        <f t="shared" si="69"/>
        <v>324.32352173913057</v>
      </c>
      <c r="BD22" s="11">
        <f t="shared" si="64"/>
        <v>41.73462739893628</v>
      </c>
      <c r="BE22" s="3">
        <f t="shared" si="13"/>
        <v>800</v>
      </c>
      <c r="BF22" s="34">
        <f t="shared" si="14"/>
        <v>115.8138776294337</v>
      </c>
      <c r="BG22" s="3">
        <f>Y22</f>
        <v>0</v>
      </c>
      <c r="BH22" s="34">
        <f t="shared" si="65"/>
        <v>0</v>
      </c>
      <c r="BI22" s="3">
        <f t="shared" si="49"/>
        <v>800</v>
      </c>
      <c r="BJ22" s="3">
        <f t="shared" si="34"/>
        <v>1627.8283911248182</v>
      </c>
      <c r="BK22" s="3">
        <f t="shared" si="50"/>
        <v>800</v>
      </c>
      <c r="BL22" s="3">
        <f t="shared" si="35"/>
        <v>173.72081644415059</v>
      </c>
      <c r="BM22" s="3">
        <f t="shared" si="51"/>
        <v>120</v>
      </c>
      <c r="BN22" s="3">
        <f t="shared" si="36"/>
        <v>249.96495255019443</v>
      </c>
      <c r="BO22" s="3">
        <f t="shared" si="37"/>
        <v>800</v>
      </c>
      <c r="BP22" s="3">
        <f t="shared" si="38"/>
        <v>105.60480417604528</v>
      </c>
      <c r="BQ22" s="3">
        <f t="shared" si="52"/>
        <v>800</v>
      </c>
      <c r="BR22" s="3">
        <f t="shared" si="53"/>
        <v>0</v>
      </c>
      <c r="BS22" s="3">
        <f t="shared" si="39"/>
        <v>8.7418325206344</v>
      </c>
      <c r="BT22" s="3">
        <f t="shared" si="9"/>
        <v>382.0178933558276</v>
      </c>
      <c r="BU22" s="3">
        <f t="shared" si="54"/>
        <v>800</v>
      </c>
      <c r="BV22" s="3">
        <f t="shared" si="40"/>
        <v>80.42630390932896</v>
      </c>
      <c r="BW22" s="3">
        <f t="shared" si="55"/>
        <v>800</v>
      </c>
      <c r="BX22" s="3">
        <f t="shared" si="41"/>
        <v>70.87796724819475</v>
      </c>
      <c r="BY22" s="3">
        <f t="shared" si="56"/>
        <v>800</v>
      </c>
      <c r="BZ22" s="3">
        <f t="shared" si="57"/>
        <v>0</v>
      </c>
      <c r="CA22" s="3">
        <f t="shared" si="42"/>
        <v>113.73177088172253</v>
      </c>
      <c r="CB22" s="3">
        <f t="shared" si="58"/>
        <v>800</v>
      </c>
      <c r="CC22" s="3">
        <f t="shared" si="59"/>
        <v>0</v>
      </c>
      <c r="CD22" s="3">
        <f t="shared" si="43"/>
        <v>56.01274999724988</v>
      </c>
      <c r="CE22" s="3">
        <f t="shared" si="70"/>
        <v>324.32352173913057</v>
      </c>
      <c r="CF22" s="3">
        <f t="shared" si="66"/>
        <v>96.32846813328634</v>
      </c>
      <c r="CG22" s="34">
        <f t="shared" si="44"/>
        <v>0</v>
      </c>
      <c r="CH22" s="34">
        <f t="shared" si="45"/>
        <v>0</v>
      </c>
      <c r="CK22" s="53" t="s">
        <v>9</v>
      </c>
      <c r="CL22" s="60">
        <v>2200</v>
      </c>
      <c r="CM22" s="44">
        <v>2400</v>
      </c>
      <c r="CN22" s="37">
        <v>2900</v>
      </c>
      <c r="CO22" s="37">
        <v>3500</v>
      </c>
      <c r="CP22" s="59">
        <v>4400</v>
      </c>
      <c r="CQ22" s="37"/>
    </row>
    <row r="23" spans="1:95" ht="14.25">
      <c r="A23" s="1">
        <f t="shared" si="0"/>
        <v>2011</v>
      </c>
      <c r="B23" s="47">
        <v>3753.0848826</v>
      </c>
      <c r="C23" s="2">
        <f aca="true" t="shared" si="71" ref="C23:C72">(AM18+AN18)</f>
        <v>52.5</v>
      </c>
      <c r="F23" s="2">
        <f t="shared" si="10"/>
        <v>52.5</v>
      </c>
      <c r="G23" s="14">
        <f t="shared" si="1"/>
        <v>960.602491304348</v>
      </c>
      <c r="H23" s="14">
        <f t="shared" si="2"/>
        <v>1013.102491304348</v>
      </c>
      <c r="I23" s="7"/>
      <c r="J23" s="2"/>
      <c r="K23" s="2"/>
      <c r="L23" s="2"/>
      <c r="M23" s="3">
        <f t="shared" si="11"/>
        <v>800</v>
      </c>
      <c r="N23" s="3">
        <f t="shared" si="12"/>
        <v>800</v>
      </c>
      <c r="O23" s="2">
        <f t="shared" si="67"/>
        <v>800</v>
      </c>
      <c r="P23" s="14">
        <f t="shared" si="60"/>
        <v>0</v>
      </c>
      <c r="Q23" s="14">
        <f t="shared" si="61"/>
        <v>0</v>
      </c>
      <c r="R23" s="14">
        <f t="shared" si="62"/>
        <v>0</v>
      </c>
      <c r="S23" s="14">
        <f t="shared" si="63"/>
        <v>191.4802415458937</v>
      </c>
      <c r="T23" s="14">
        <f t="shared" si="68"/>
        <v>191.4802415458937</v>
      </c>
      <c r="U23" s="13"/>
      <c r="V23" s="13"/>
      <c r="W23" s="13"/>
      <c r="X23" s="13"/>
      <c r="Y23" s="13"/>
      <c r="Z23" s="1">
        <f t="shared" si="15"/>
        <v>800</v>
      </c>
      <c r="AA23" s="1">
        <f t="shared" si="16"/>
        <v>0</v>
      </c>
      <c r="AB23" s="15">
        <f t="shared" si="17"/>
        <v>800</v>
      </c>
      <c r="AC23" s="2">
        <f t="shared" si="18"/>
        <v>0</v>
      </c>
      <c r="AD23" s="2">
        <f t="shared" si="19"/>
        <v>0</v>
      </c>
      <c r="AE23" s="2">
        <f t="shared" si="20"/>
        <v>0</v>
      </c>
      <c r="AF23" s="2">
        <f t="shared" si="21"/>
        <v>0</v>
      </c>
      <c r="AG23" s="2">
        <f t="shared" si="22"/>
        <v>0</v>
      </c>
      <c r="AH23" s="2">
        <f t="shared" si="23"/>
        <v>0</v>
      </c>
      <c r="AI23" s="2">
        <f t="shared" si="46"/>
        <v>0</v>
      </c>
      <c r="AJ23" s="2">
        <f t="shared" si="24"/>
        <v>800</v>
      </c>
      <c r="AK23" s="2">
        <f t="shared" si="25"/>
        <v>0</v>
      </c>
      <c r="AL23" s="2">
        <f t="shared" si="47"/>
        <v>800</v>
      </c>
      <c r="AM23" s="2">
        <f t="shared" si="26"/>
        <v>120</v>
      </c>
      <c r="AN23" s="2">
        <f t="shared" si="27"/>
        <v>0</v>
      </c>
      <c r="AO23" s="2">
        <f t="shared" si="28"/>
        <v>0</v>
      </c>
      <c r="AP23" s="2">
        <f t="shared" si="29"/>
        <v>0</v>
      </c>
      <c r="AQ23" s="2">
        <f t="shared" si="30"/>
        <v>0</v>
      </c>
      <c r="AR23" s="2">
        <f t="shared" si="31"/>
        <v>0</v>
      </c>
      <c r="AS23" s="2">
        <f t="shared" si="32"/>
        <v>0</v>
      </c>
      <c r="AT23" s="2">
        <f t="shared" si="33"/>
        <v>0</v>
      </c>
      <c r="AU23" s="2">
        <f t="shared" si="48"/>
        <v>120</v>
      </c>
      <c r="AV23" s="2">
        <f t="shared" si="3"/>
        <v>0</v>
      </c>
      <c r="AW23" s="2">
        <f t="shared" si="4"/>
        <v>0</v>
      </c>
      <c r="AX23" s="2">
        <f t="shared" si="5"/>
        <v>960.602491304348</v>
      </c>
      <c r="AY23" s="2">
        <f t="shared" si="6"/>
        <v>52.5</v>
      </c>
      <c r="AZ23" s="19"/>
      <c r="BA23" s="2">
        <f t="shared" si="7"/>
        <v>3001.81801746119</v>
      </c>
      <c r="BB23" s="2">
        <f t="shared" si="8"/>
        <v>1756.150780454456</v>
      </c>
      <c r="BC23" s="4">
        <f t="shared" si="69"/>
        <v>191.4802415458937</v>
      </c>
      <c r="BD23" s="11">
        <f t="shared" si="64"/>
        <v>24.156938194826292</v>
      </c>
      <c r="BE23" s="3">
        <f t="shared" si="13"/>
        <v>800</v>
      </c>
      <c r="BF23" s="34">
        <f t="shared" si="14"/>
        <v>113.54301728375852</v>
      </c>
      <c r="BG23" s="3">
        <f aca="true" t="shared" si="72" ref="BG23:BG45">Y23</f>
        <v>0</v>
      </c>
      <c r="BH23" s="34">
        <f t="shared" si="65"/>
        <v>0</v>
      </c>
      <c r="BI23" s="3">
        <f t="shared" si="49"/>
        <v>800</v>
      </c>
      <c r="BJ23" s="3">
        <f t="shared" si="34"/>
        <v>1595.9101873772727</v>
      </c>
      <c r="BK23" s="3">
        <f t="shared" si="50"/>
        <v>800</v>
      </c>
      <c r="BL23" s="3">
        <f t="shared" si="35"/>
        <v>170.31452592563778</v>
      </c>
      <c r="BM23" s="3">
        <f t="shared" si="51"/>
        <v>120</v>
      </c>
      <c r="BN23" s="3">
        <f t="shared" si="36"/>
        <v>245.0636789707788</v>
      </c>
      <c r="BO23" s="3">
        <f t="shared" si="37"/>
        <v>800</v>
      </c>
      <c r="BP23" s="3">
        <f t="shared" si="38"/>
        <v>103.53412174122087</v>
      </c>
      <c r="BQ23" s="3">
        <f t="shared" si="52"/>
        <v>800</v>
      </c>
      <c r="BR23" s="3">
        <f t="shared" si="53"/>
        <v>0</v>
      </c>
      <c r="BS23" s="3">
        <f t="shared" si="39"/>
        <v>8.570424039837647</v>
      </c>
      <c r="BT23" s="3">
        <f t="shared" si="9"/>
        <v>374.52734642728205</v>
      </c>
      <c r="BU23" s="3">
        <f t="shared" si="54"/>
        <v>800</v>
      </c>
      <c r="BV23" s="3">
        <f t="shared" si="40"/>
        <v>78.84931755816564</v>
      </c>
      <c r="BW23" s="3">
        <f t="shared" si="55"/>
        <v>800</v>
      </c>
      <c r="BX23" s="3">
        <f t="shared" si="41"/>
        <v>69.48820318450466</v>
      </c>
      <c r="BY23" s="3">
        <f t="shared" si="56"/>
        <v>800</v>
      </c>
      <c r="BZ23" s="3">
        <f t="shared" si="57"/>
        <v>0</v>
      </c>
      <c r="CA23" s="3">
        <f t="shared" si="42"/>
        <v>111.50173615855151</v>
      </c>
      <c r="CB23" s="3">
        <f t="shared" si="58"/>
        <v>800</v>
      </c>
      <c r="CC23" s="3">
        <f t="shared" si="59"/>
        <v>0</v>
      </c>
      <c r="CD23" s="3">
        <f t="shared" si="43"/>
        <v>54.91446078161753</v>
      </c>
      <c r="CE23" s="3">
        <f t="shared" si="70"/>
        <v>191.4802415458937</v>
      </c>
      <c r="CF23" s="3">
        <f t="shared" si="66"/>
        <v>55.757077422893246</v>
      </c>
      <c r="CG23" s="34">
        <f t="shared" si="44"/>
        <v>0</v>
      </c>
      <c r="CH23" s="34">
        <f t="shared" si="45"/>
        <v>0</v>
      </c>
      <c r="CK23" s="53" t="s">
        <v>40</v>
      </c>
      <c r="CL23" s="60">
        <v>1000</v>
      </c>
      <c r="CM23" s="44">
        <v>1000</v>
      </c>
      <c r="CN23" s="37">
        <v>1000</v>
      </c>
      <c r="CO23" s="37">
        <v>1000</v>
      </c>
      <c r="CP23" s="59">
        <v>1000</v>
      </c>
      <c r="CQ23" s="37"/>
    </row>
    <row r="24" spans="1:95" ht="14.25">
      <c r="A24" s="1">
        <f t="shared" si="0"/>
        <v>2012</v>
      </c>
      <c r="B24" s="47">
        <v>3856.1335956</v>
      </c>
      <c r="C24" s="2">
        <f t="shared" si="71"/>
        <v>72</v>
      </c>
      <c r="F24" s="2">
        <f t="shared" si="10"/>
        <v>72</v>
      </c>
      <c r="G24" s="14">
        <f t="shared" si="1"/>
        <v>970.9258173913043</v>
      </c>
      <c r="H24" s="14">
        <f t="shared" si="2"/>
        <v>1042.9258173913045</v>
      </c>
      <c r="I24" s="7"/>
      <c r="J24" s="2"/>
      <c r="K24" s="2"/>
      <c r="L24" s="2"/>
      <c r="M24" s="3">
        <f t="shared" si="11"/>
        <v>800</v>
      </c>
      <c r="N24" s="3">
        <f t="shared" si="12"/>
        <v>800</v>
      </c>
      <c r="O24" s="2">
        <f t="shared" si="67"/>
        <v>800</v>
      </c>
      <c r="P24" s="14">
        <f t="shared" si="60"/>
        <v>0</v>
      </c>
      <c r="Q24" s="14">
        <f t="shared" si="61"/>
        <v>0</v>
      </c>
      <c r="R24" s="14">
        <f t="shared" si="62"/>
        <v>0</v>
      </c>
      <c r="S24" s="14">
        <f t="shared" si="63"/>
        <v>196.17049855072446</v>
      </c>
      <c r="T24" s="14">
        <f t="shared" si="68"/>
        <v>196.17049855072446</v>
      </c>
      <c r="U24" s="13"/>
      <c r="V24" s="13"/>
      <c r="W24" s="13"/>
      <c r="X24" s="13"/>
      <c r="Y24" s="13"/>
      <c r="Z24" s="1">
        <f t="shared" si="15"/>
        <v>800</v>
      </c>
      <c r="AA24" s="1">
        <f t="shared" si="16"/>
        <v>0</v>
      </c>
      <c r="AB24" s="15">
        <f t="shared" si="17"/>
        <v>800</v>
      </c>
      <c r="AC24" s="2">
        <f t="shared" si="18"/>
        <v>0</v>
      </c>
      <c r="AD24" s="2">
        <f t="shared" si="19"/>
        <v>0</v>
      </c>
      <c r="AE24" s="2">
        <f t="shared" si="20"/>
        <v>0</v>
      </c>
      <c r="AF24" s="2">
        <f t="shared" si="21"/>
        <v>0</v>
      </c>
      <c r="AG24" s="2">
        <f t="shared" si="22"/>
        <v>0</v>
      </c>
      <c r="AH24" s="2">
        <f t="shared" si="23"/>
        <v>0</v>
      </c>
      <c r="AI24" s="2">
        <f t="shared" si="46"/>
        <v>0</v>
      </c>
      <c r="AJ24" s="2">
        <f t="shared" si="24"/>
        <v>800</v>
      </c>
      <c r="AK24" s="2">
        <f t="shared" si="25"/>
        <v>0</v>
      </c>
      <c r="AL24" s="2">
        <f t="shared" si="47"/>
        <v>800</v>
      </c>
      <c r="AM24" s="2">
        <f t="shared" si="26"/>
        <v>120</v>
      </c>
      <c r="AN24" s="2">
        <f t="shared" si="27"/>
        <v>0</v>
      </c>
      <c r="AO24" s="2">
        <f t="shared" si="28"/>
        <v>0</v>
      </c>
      <c r="AP24" s="2">
        <f t="shared" si="29"/>
        <v>0</v>
      </c>
      <c r="AQ24" s="2">
        <f t="shared" si="30"/>
        <v>0</v>
      </c>
      <c r="AR24" s="2">
        <f t="shared" si="31"/>
        <v>0</v>
      </c>
      <c r="AS24" s="2">
        <f t="shared" si="32"/>
        <v>0</v>
      </c>
      <c r="AT24" s="2">
        <f t="shared" si="33"/>
        <v>0</v>
      </c>
      <c r="AU24" s="2">
        <f t="shared" si="48"/>
        <v>120</v>
      </c>
      <c r="AV24" s="2">
        <f t="shared" si="3"/>
        <v>0</v>
      </c>
      <c r="AW24" s="2">
        <f t="shared" si="4"/>
        <v>0</v>
      </c>
      <c r="AX24" s="2">
        <f t="shared" si="5"/>
        <v>970.9258173913043</v>
      </c>
      <c r="AY24" s="2">
        <f t="shared" si="6"/>
        <v>72</v>
      </c>
      <c r="AZ24" s="19"/>
      <c r="BA24" s="2">
        <f t="shared" si="7"/>
        <v>3023.763866494237</v>
      </c>
      <c r="BB24" s="2">
        <f t="shared" si="8"/>
        <v>1740.2192561950706</v>
      </c>
      <c r="BC24" s="4">
        <f t="shared" si="69"/>
        <v>196.17049855072446</v>
      </c>
      <c r="BD24" s="11">
        <f t="shared" si="64"/>
        <v>24.263388134540776</v>
      </c>
      <c r="BE24" s="3">
        <f t="shared" si="13"/>
        <v>800</v>
      </c>
      <c r="BF24" s="34">
        <f t="shared" si="14"/>
        <v>111.31668361152796</v>
      </c>
      <c r="BG24" s="3">
        <f t="shared" si="72"/>
        <v>0</v>
      </c>
      <c r="BH24" s="34">
        <f t="shared" si="65"/>
        <v>0</v>
      </c>
      <c r="BI24" s="3">
        <f t="shared" si="49"/>
        <v>800</v>
      </c>
      <c r="BJ24" s="3">
        <f t="shared" si="34"/>
        <v>1564.6178307620319</v>
      </c>
      <c r="BK24" s="3">
        <f t="shared" si="50"/>
        <v>800</v>
      </c>
      <c r="BL24" s="3">
        <f t="shared" si="35"/>
        <v>166.97502541729196</v>
      </c>
      <c r="BM24" s="3">
        <f t="shared" si="51"/>
        <v>120</v>
      </c>
      <c r="BN24" s="3">
        <f t="shared" si="36"/>
        <v>240.2585087948812</v>
      </c>
      <c r="BO24" s="3">
        <f t="shared" si="37"/>
        <v>800</v>
      </c>
      <c r="BP24" s="3">
        <f t="shared" si="38"/>
        <v>101.50404092276555</v>
      </c>
      <c r="BQ24" s="3">
        <f t="shared" si="52"/>
        <v>800</v>
      </c>
      <c r="BR24" s="3">
        <f t="shared" si="53"/>
        <v>0</v>
      </c>
      <c r="BS24" s="3">
        <f t="shared" si="39"/>
        <v>8.40237650964475</v>
      </c>
      <c r="BT24" s="3">
        <f t="shared" si="9"/>
        <v>377.26546064860736</v>
      </c>
      <c r="BU24" s="3">
        <f t="shared" si="54"/>
        <v>800</v>
      </c>
      <c r="BV24" s="3">
        <f t="shared" si="40"/>
        <v>77.30325250800553</v>
      </c>
      <c r="BW24" s="3">
        <f t="shared" si="55"/>
        <v>800</v>
      </c>
      <c r="BX24" s="3">
        <f t="shared" si="41"/>
        <v>68.1256893965732</v>
      </c>
      <c r="BY24" s="3">
        <f t="shared" si="56"/>
        <v>800</v>
      </c>
      <c r="BZ24" s="3">
        <f t="shared" si="57"/>
        <v>0</v>
      </c>
      <c r="CA24" s="3">
        <f t="shared" si="42"/>
        <v>109.31542760642303</v>
      </c>
      <c r="CB24" s="3">
        <f t="shared" si="58"/>
        <v>800</v>
      </c>
      <c r="CC24" s="3">
        <f t="shared" si="59"/>
        <v>0</v>
      </c>
      <c r="CD24" s="3">
        <f t="shared" si="43"/>
        <v>53.83770664864463</v>
      </c>
      <c r="CE24" s="3">
        <f t="shared" si="70"/>
        <v>196.17049855072446</v>
      </c>
      <c r="CF24" s="3">
        <f t="shared" si="66"/>
        <v>56.00277650455891</v>
      </c>
      <c r="CG24" s="34">
        <f t="shared" si="44"/>
        <v>0</v>
      </c>
      <c r="CH24" s="34">
        <f t="shared" si="45"/>
        <v>0</v>
      </c>
      <c r="CK24" s="53" t="s">
        <v>1</v>
      </c>
      <c r="CL24" s="60">
        <v>4200</v>
      </c>
      <c r="CM24" s="44">
        <v>4700</v>
      </c>
      <c r="CN24" s="37">
        <v>5400</v>
      </c>
      <c r="CO24" s="37">
        <v>6100</v>
      </c>
      <c r="CP24" s="59">
        <v>7000</v>
      </c>
      <c r="CQ24" s="37"/>
    </row>
    <row r="25" spans="1:95" ht="15" thickBot="1">
      <c r="A25" s="1">
        <f t="shared" si="0"/>
        <v>2013</v>
      </c>
      <c r="B25" s="47">
        <v>3856.1335956</v>
      </c>
      <c r="C25" s="2">
        <f t="shared" si="71"/>
        <v>96</v>
      </c>
      <c r="F25" s="2">
        <f t="shared" si="10"/>
        <v>96</v>
      </c>
      <c r="G25" s="14">
        <f t="shared" si="1"/>
        <v>949.592484057971</v>
      </c>
      <c r="H25" s="14">
        <f t="shared" si="2"/>
        <v>1045.592484057971</v>
      </c>
      <c r="I25" s="7"/>
      <c r="J25" s="2"/>
      <c r="K25" s="2"/>
      <c r="L25" s="2"/>
      <c r="M25" s="3">
        <f t="shared" si="11"/>
        <v>800</v>
      </c>
      <c r="N25" s="3">
        <f t="shared" si="12"/>
        <v>800</v>
      </c>
      <c r="O25" s="2">
        <f t="shared" si="67"/>
        <v>800</v>
      </c>
      <c r="P25" s="14">
        <f t="shared" si="60"/>
        <v>0</v>
      </c>
      <c r="Q25" s="14">
        <f t="shared" si="61"/>
        <v>0</v>
      </c>
      <c r="R25" s="14">
        <f t="shared" si="62"/>
        <v>0</v>
      </c>
      <c r="S25" s="14">
        <f t="shared" si="63"/>
        <v>196.17049855072446</v>
      </c>
      <c r="T25" s="14">
        <f t="shared" si="68"/>
        <v>196.17049855072446</v>
      </c>
      <c r="U25" s="13"/>
      <c r="V25" s="13"/>
      <c r="W25" s="13"/>
      <c r="X25" s="13"/>
      <c r="Y25" s="13"/>
      <c r="Z25" s="1">
        <f t="shared" si="15"/>
        <v>800</v>
      </c>
      <c r="AA25" s="1">
        <f t="shared" si="16"/>
        <v>0</v>
      </c>
      <c r="AB25" s="15">
        <f t="shared" si="17"/>
        <v>800</v>
      </c>
      <c r="AC25" s="2">
        <f t="shared" si="18"/>
        <v>0</v>
      </c>
      <c r="AD25" s="2">
        <f t="shared" si="19"/>
        <v>0</v>
      </c>
      <c r="AE25" s="2">
        <f t="shared" si="20"/>
        <v>0</v>
      </c>
      <c r="AF25" s="2">
        <f t="shared" si="21"/>
        <v>0</v>
      </c>
      <c r="AG25" s="2">
        <f t="shared" si="22"/>
        <v>0</v>
      </c>
      <c r="AH25" s="2">
        <f t="shared" si="23"/>
        <v>0</v>
      </c>
      <c r="AI25" s="2">
        <f t="shared" si="46"/>
        <v>0</v>
      </c>
      <c r="AJ25" s="2">
        <f t="shared" si="24"/>
        <v>800</v>
      </c>
      <c r="AK25" s="2">
        <f t="shared" si="25"/>
        <v>0</v>
      </c>
      <c r="AL25" s="2">
        <f t="shared" si="47"/>
        <v>800</v>
      </c>
      <c r="AM25" s="2">
        <f t="shared" si="26"/>
        <v>120</v>
      </c>
      <c r="AN25" s="2">
        <f t="shared" si="27"/>
        <v>0</v>
      </c>
      <c r="AO25" s="2">
        <f t="shared" si="28"/>
        <v>0</v>
      </c>
      <c r="AP25" s="2">
        <f t="shared" si="29"/>
        <v>0</v>
      </c>
      <c r="AQ25" s="2">
        <f t="shared" si="30"/>
        <v>0</v>
      </c>
      <c r="AR25" s="2">
        <f t="shared" si="31"/>
        <v>0</v>
      </c>
      <c r="AS25" s="2">
        <f t="shared" si="32"/>
        <v>0</v>
      </c>
      <c r="AT25" s="2">
        <f t="shared" si="33"/>
        <v>0</v>
      </c>
      <c r="AU25" s="2">
        <f t="shared" si="48"/>
        <v>120</v>
      </c>
      <c r="AV25" s="2">
        <f t="shared" si="3"/>
        <v>0</v>
      </c>
      <c r="AW25" s="2">
        <f t="shared" si="4"/>
        <v>0</v>
      </c>
      <c r="AX25" s="2">
        <f t="shared" si="5"/>
        <v>949.592484057971</v>
      </c>
      <c r="AY25" s="2">
        <f t="shared" si="6"/>
        <v>96</v>
      </c>
      <c r="AZ25" s="19"/>
      <c r="BA25" s="2">
        <f t="shared" si="7"/>
        <v>2964.4743789159184</v>
      </c>
      <c r="BB25" s="2">
        <f t="shared" si="8"/>
        <v>1668.6106740840721</v>
      </c>
      <c r="BC25" s="4">
        <f t="shared" si="69"/>
        <v>196.17049855072446</v>
      </c>
      <c r="BD25" s="11">
        <f t="shared" si="64"/>
        <v>23.787635426020366</v>
      </c>
      <c r="BE25" s="3">
        <f t="shared" si="13"/>
        <v>800</v>
      </c>
      <c r="BF25" s="34">
        <f t="shared" si="14"/>
        <v>109.13400354071368</v>
      </c>
      <c r="BG25" s="3">
        <f t="shared" si="72"/>
        <v>0</v>
      </c>
      <c r="BH25" s="34">
        <f t="shared" si="65"/>
        <v>0</v>
      </c>
      <c r="BI25" s="3">
        <f t="shared" si="49"/>
        <v>800</v>
      </c>
      <c r="BJ25" s="3">
        <f t="shared" si="34"/>
        <v>1533.939049766698</v>
      </c>
      <c r="BK25" s="3">
        <f t="shared" si="50"/>
        <v>800</v>
      </c>
      <c r="BL25" s="3">
        <f t="shared" si="35"/>
        <v>163.70100531107053</v>
      </c>
      <c r="BM25" s="3">
        <f t="shared" si="51"/>
        <v>120</v>
      </c>
      <c r="BN25" s="3">
        <f t="shared" si="36"/>
        <v>235.54755764204037</v>
      </c>
      <c r="BO25" s="3">
        <f t="shared" si="37"/>
        <v>800</v>
      </c>
      <c r="BP25" s="3">
        <f t="shared" si="38"/>
        <v>99.51376561055447</v>
      </c>
      <c r="BQ25" s="3">
        <f t="shared" si="52"/>
        <v>800</v>
      </c>
      <c r="BR25" s="3">
        <f t="shared" si="53"/>
        <v>0</v>
      </c>
      <c r="BS25" s="3">
        <f t="shared" si="39"/>
        <v>8.23762402906348</v>
      </c>
      <c r="BT25" s="3">
        <f t="shared" si="9"/>
        <v>369.8680986751052</v>
      </c>
      <c r="BU25" s="3">
        <f t="shared" si="54"/>
        <v>800</v>
      </c>
      <c r="BV25" s="3">
        <f t="shared" si="40"/>
        <v>75.78750245882894</v>
      </c>
      <c r="BW25" s="3">
        <f t="shared" si="55"/>
        <v>800</v>
      </c>
      <c r="BX25" s="3">
        <f t="shared" si="41"/>
        <v>66.78989156526784</v>
      </c>
      <c r="BY25" s="3">
        <f t="shared" si="56"/>
        <v>800</v>
      </c>
      <c r="BZ25" s="3">
        <f t="shared" si="57"/>
        <v>0</v>
      </c>
      <c r="CA25" s="3">
        <f t="shared" si="42"/>
        <v>107.17198784943433</v>
      </c>
      <c r="CB25" s="3">
        <f t="shared" si="58"/>
        <v>800</v>
      </c>
      <c r="CC25" s="3">
        <f t="shared" si="59"/>
        <v>0</v>
      </c>
      <c r="CD25" s="3">
        <f t="shared" si="43"/>
        <v>52.78206534180846</v>
      </c>
      <c r="CE25" s="3">
        <f t="shared" si="70"/>
        <v>196.17049855072446</v>
      </c>
      <c r="CF25" s="3">
        <f t="shared" si="66"/>
        <v>54.904682847606765</v>
      </c>
      <c r="CG25" s="34">
        <f t="shared" si="44"/>
        <v>0</v>
      </c>
      <c r="CH25" s="34">
        <f t="shared" si="45"/>
        <v>0</v>
      </c>
      <c r="CK25" s="53" t="s">
        <v>16</v>
      </c>
      <c r="CL25" s="73">
        <v>25600</v>
      </c>
      <c r="CM25" s="74">
        <v>25700</v>
      </c>
      <c r="CN25" s="74">
        <v>25900</v>
      </c>
      <c r="CO25" s="74">
        <v>26200</v>
      </c>
      <c r="CP25" s="75">
        <v>26600</v>
      </c>
      <c r="CQ25" s="103"/>
    </row>
    <row r="26" spans="1:89" ht="14.25">
      <c r="A26" s="1">
        <f t="shared" si="0"/>
        <v>2014</v>
      </c>
      <c r="B26" s="47">
        <v>3856.1335956</v>
      </c>
      <c r="C26" s="2">
        <f t="shared" si="71"/>
        <v>120</v>
      </c>
      <c r="F26" s="2">
        <f t="shared" si="10"/>
        <v>120</v>
      </c>
      <c r="G26" s="14">
        <f t="shared" si="1"/>
        <v>928.2591507246377</v>
      </c>
      <c r="H26" s="14">
        <f t="shared" si="2"/>
        <v>1048.2591507246377</v>
      </c>
      <c r="I26" s="7"/>
      <c r="J26" s="2"/>
      <c r="K26" s="2"/>
      <c r="L26" s="2"/>
      <c r="M26" s="3">
        <f t="shared" si="11"/>
        <v>800</v>
      </c>
      <c r="N26" s="3">
        <f t="shared" si="12"/>
        <v>800</v>
      </c>
      <c r="O26" s="2">
        <f t="shared" si="67"/>
        <v>800</v>
      </c>
      <c r="P26" s="14">
        <f t="shared" si="60"/>
        <v>0</v>
      </c>
      <c r="Q26" s="14">
        <f t="shared" si="61"/>
        <v>0</v>
      </c>
      <c r="R26" s="14">
        <f t="shared" si="62"/>
        <v>0</v>
      </c>
      <c r="S26" s="14">
        <f t="shared" si="63"/>
        <v>214.40829565217416</v>
      </c>
      <c r="T26" s="14">
        <f t="shared" si="68"/>
        <v>214.40829565217416</v>
      </c>
      <c r="U26" s="13"/>
      <c r="V26" s="13"/>
      <c r="W26" s="13"/>
      <c r="X26" s="13"/>
      <c r="Y26" s="13"/>
      <c r="Z26" s="1">
        <f t="shared" si="15"/>
        <v>800</v>
      </c>
      <c r="AA26" s="1">
        <f t="shared" si="16"/>
        <v>0</v>
      </c>
      <c r="AB26" s="15">
        <f t="shared" si="17"/>
        <v>800</v>
      </c>
      <c r="AC26" s="2">
        <f t="shared" si="18"/>
        <v>0</v>
      </c>
      <c r="AD26" s="2">
        <f t="shared" si="19"/>
        <v>0</v>
      </c>
      <c r="AE26" s="2">
        <f t="shared" si="20"/>
        <v>0</v>
      </c>
      <c r="AF26" s="2">
        <f t="shared" si="21"/>
        <v>0</v>
      </c>
      <c r="AG26" s="2">
        <f t="shared" si="22"/>
        <v>0</v>
      </c>
      <c r="AH26" s="2">
        <f t="shared" si="23"/>
        <v>0</v>
      </c>
      <c r="AI26" s="2">
        <f t="shared" si="46"/>
        <v>0</v>
      </c>
      <c r="AJ26" s="2">
        <f t="shared" si="24"/>
        <v>800</v>
      </c>
      <c r="AK26" s="2">
        <f t="shared" si="25"/>
        <v>0</v>
      </c>
      <c r="AL26" s="2">
        <f t="shared" si="47"/>
        <v>800</v>
      </c>
      <c r="AM26" s="2">
        <f t="shared" si="26"/>
        <v>120</v>
      </c>
      <c r="AN26" s="2">
        <f t="shared" si="27"/>
        <v>0</v>
      </c>
      <c r="AO26" s="2">
        <f t="shared" si="28"/>
        <v>0</v>
      </c>
      <c r="AP26" s="2">
        <f t="shared" si="29"/>
        <v>0</v>
      </c>
      <c r="AQ26" s="2">
        <f t="shared" si="30"/>
        <v>0</v>
      </c>
      <c r="AR26" s="2">
        <f t="shared" si="31"/>
        <v>0</v>
      </c>
      <c r="AS26" s="2">
        <f t="shared" si="32"/>
        <v>0</v>
      </c>
      <c r="AT26" s="2">
        <f t="shared" si="33"/>
        <v>0</v>
      </c>
      <c r="AU26" s="2">
        <f t="shared" si="48"/>
        <v>120</v>
      </c>
      <c r="AV26" s="2">
        <f t="shared" si="3"/>
        <v>0</v>
      </c>
      <c r="AW26" s="2">
        <f t="shared" si="4"/>
        <v>0</v>
      </c>
      <c r="AX26" s="2">
        <f t="shared" si="5"/>
        <v>928.2591507246377</v>
      </c>
      <c r="AY26" s="2">
        <f t="shared" si="6"/>
        <v>120</v>
      </c>
      <c r="AZ26" s="19"/>
      <c r="BA26" s="2">
        <f t="shared" si="7"/>
        <v>2906.3474303097237</v>
      </c>
      <c r="BB26" s="2">
        <f t="shared" si="8"/>
        <v>1599.1412138950752</v>
      </c>
      <c r="BC26" s="4">
        <f t="shared" si="69"/>
        <v>214.40829565217416</v>
      </c>
      <c r="BD26" s="11">
        <f t="shared" si="64"/>
        <v>25.489363504207812</v>
      </c>
      <c r="BE26" s="3">
        <f t="shared" si="13"/>
        <v>800</v>
      </c>
      <c r="BF26" s="34">
        <f t="shared" si="14"/>
        <v>106.99412111834678</v>
      </c>
      <c r="BG26" s="3">
        <f t="shared" si="72"/>
        <v>0</v>
      </c>
      <c r="BH26" s="34">
        <f t="shared" si="65"/>
        <v>0</v>
      </c>
      <c r="BI26" s="3">
        <f t="shared" si="49"/>
        <v>800</v>
      </c>
      <c r="BJ26" s="3">
        <f t="shared" si="34"/>
        <v>1503.861813496763</v>
      </c>
      <c r="BK26" s="3">
        <f t="shared" si="50"/>
        <v>800</v>
      </c>
      <c r="BL26" s="3">
        <f t="shared" si="35"/>
        <v>160.49118167752016</v>
      </c>
      <c r="BM26" s="3">
        <f t="shared" si="51"/>
        <v>120</v>
      </c>
      <c r="BN26" s="3">
        <f t="shared" si="36"/>
        <v>230.9289780804318</v>
      </c>
      <c r="BO26" s="3">
        <f t="shared" si="37"/>
        <v>800</v>
      </c>
      <c r="BP26" s="3">
        <f t="shared" si="38"/>
        <v>97.56251530446518</v>
      </c>
      <c r="BQ26" s="3">
        <f t="shared" si="52"/>
        <v>800</v>
      </c>
      <c r="BR26" s="3">
        <f t="shared" si="53"/>
        <v>0</v>
      </c>
      <c r="BS26" s="3">
        <f t="shared" si="39"/>
        <v>8.076101989277925</v>
      </c>
      <c r="BT26" s="3">
        <f t="shared" si="9"/>
        <v>362.61578301480904</v>
      </c>
      <c r="BU26" s="3">
        <f t="shared" si="54"/>
        <v>800</v>
      </c>
      <c r="BV26" s="3">
        <f t="shared" si="40"/>
        <v>74.30147299885193</v>
      </c>
      <c r="BW26" s="3">
        <f t="shared" si="55"/>
        <v>800</v>
      </c>
      <c r="BX26" s="3">
        <f t="shared" si="41"/>
        <v>65.4802858483018</v>
      </c>
      <c r="BY26" s="3">
        <f t="shared" si="56"/>
        <v>800</v>
      </c>
      <c r="BZ26" s="3">
        <f t="shared" si="57"/>
        <v>0</v>
      </c>
      <c r="CA26" s="3">
        <f t="shared" si="42"/>
        <v>105.07057632297487</v>
      </c>
      <c r="CB26" s="3">
        <f t="shared" si="58"/>
        <v>800</v>
      </c>
      <c r="CC26" s="3">
        <f t="shared" si="59"/>
        <v>0</v>
      </c>
      <c r="CD26" s="3">
        <f t="shared" si="43"/>
        <v>51.74712288412595</v>
      </c>
      <c r="CE26" s="3">
        <f t="shared" si="70"/>
        <v>214.40829565217416</v>
      </c>
      <c r="CF26" s="3">
        <f t="shared" si="66"/>
        <v>58.83247301053933</v>
      </c>
      <c r="CG26" s="34">
        <f t="shared" si="44"/>
        <v>0</v>
      </c>
      <c r="CH26" s="34">
        <f t="shared" si="45"/>
        <v>0</v>
      </c>
      <c r="CK26" s="111"/>
    </row>
    <row r="27" spans="1:95" ht="15" thickBot="1">
      <c r="A27" s="1">
        <f t="shared" si="0"/>
        <v>2015</v>
      </c>
      <c r="B27" s="47">
        <v>3958.9587756</v>
      </c>
      <c r="C27" s="2">
        <f t="shared" si="71"/>
        <v>120</v>
      </c>
      <c r="F27" s="2">
        <f t="shared" si="10"/>
        <v>120</v>
      </c>
      <c r="G27" s="14">
        <f t="shared" si="1"/>
        <v>955.8558173913046</v>
      </c>
      <c r="H27" s="14">
        <f t="shared" si="2"/>
        <v>1075.8558173913048</v>
      </c>
      <c r="I27" s="7"/>
      <c r="J27" s="2"/>
      <c r="K27" s="2"/>
      <c r="L27" s="2"/>
      <c r="M27" s="3">
        <f t="shared" si="11"/>
        <v>800</v>
      </c>
      <c r="N27" s="3">
        <f t="shared" si="12"/>
        <v>800</v>
      </c>
      <c r="O27" s="2">
        <f t="shared" si="67"/>
        <v>800</v>
      </c>
      <c r="P27" s="14">
        <f t="shared" si="60"/>
        <v>45</v>
      </c>
      <c r="Q27" s="14">
        <f t="shared" si="61"/>
        <v>0</v>
      </c>
      <c r="R27" s="14">
        <f t="shared" si="62"/>
        <v>0</v>
      </c>
      <c r="S27" s="14">
        <f t="shared" si="63"/>
        <v>167.26915797101458</v>
      </c>
      <c r="T27" s="14">
        <f t="shared" si="68"/>
        <v>212.26915797101458</v>
      </c>
      <c r="U27" s="13"/>
      <c r="V27" s="13"/>
      <c r="W27" s="13"/>
      <c r="X27" s="13"/>
      <c r="Y27" s="13"/>
      <c r="Z27" s="1">
        <f t="shared" si="15"/>
        <v>800</v>
      </c>
      <c r="AA27" s="1">
        <f t="shared" si="16"/>
        <v>0</v>
      </c>
      <c r="AB27" s="15">
        <f t="shared" si="17"/>
        <v>800</v>
      </c>
      <c r="AC27" s="2">
        <f t="shared" si="18"/>
        <v>0</v>
      </c>
      <c r="AD27" s="2">
        <f t="shared" si="19"/>
        <v>0</v>
      </c>
      <c r="AE27" s="2">
        <f t="shared" si="20"/>
        <v>0</v>
      </c>
      <c r="AF27" s="2">
        <f t="shared" si="21"/>
        <v>0</v>
      </c>
      <c r="AG27" s="2">
        <f t="shared" si="22"/>
        <v>0</v>
      </c>
      <c r="AH27" s="2">
        <f t="shared" si="23"/>
        <v>0</v>
      </c>
      <c r="AI27" s="2">
        <f t="shared" si="46"/>
        <v>0</v>
      </c>
      <c r="AJ27" s="2">
        <f t="shared" si="24"/>
        <v>800</v>
      </c>
      <c r="AK27" s="2">
        <f t="shared" si="25"/>
        <v>0</v>
      </c>
      <c r="AL27" s="2">
        <f t="shared" si="47"/>
        <v>800</v>
      </c>
      <c r="AM27" s="2">
        <f t="shared" si="26"/>
        <v>120</v>
      </c>
      <c r="AN27" s="2">
        <f t="shared" si="27"/>
        <v>0</v>
      </c>
      <c r="AO27" s="2">
        <f t="shared" si="28"/>
        <v>0</v>
      </c>
      <c r="AP27" s="2">
        <f t="shared" si="29"/>
        <v>0</v>
      </c>
      <c r="AQ27" s="2">
        <f t="shared" si="30"/>
        <v>0</v>
      </c>
      <c r="AR27" s="2">
        <f t="shared" si="31"/>
        <v>0</v>
      </c>
      <c r="AS27" s="2">
        <f t="shared" si="32"/>
        <v>0</v>
      </c>
      <c r="AT27" s="2">
        <f t="shared" si="33"/>
        <v>0</v>
      </c>
      <c r="AU27" s="2">
        <f t="shared" si="48"/>
        <v>120</v>
      </c>
      <c r="AV27" s="2">
        <f t="shared" si="3"/>
        <v>0</v>
      </c>
      <c r="AW27" s="2">
        <f t="shared" si="4"/>
        <v>0</v>
      </c>
      <c r="AX27" s="2">
        <f t="shared" si="5"/>
        <v>955.8558173913046</v>
      </c>
      <c r="AY27" s="2">
        <f t="shared" si="6"/>
        <v>120</v>
      </c>
      <c r="AZ27" s="19"/>
      <c r="BA27" s="2">
        <f t="shared" si="7"/>
        <v>2925.3394342000106</v>
      </c>
      <c r="BB27" s="2">
        <f t="shared" si="8"/>
        <v>1614.3949597232754</v>
      </c>
      <c r="BC27" s="4">
        <f t="shared" si="69"/>
        <v>212.26915797101458</v>
      </c>
      <c r="BD27" s="11">
        <f t="shared" si="64"/>
        <v>24.740252720740976</v>
      </c>
      <c r="BE27" s="3">
        <f t="shared" si="13"/>
        <v>800</v>
      </c>
      <c r="BF27" s="34">
        <f t="shared" si="14"/>
        <v>104.89619717484976</v>
      </c>
      <c r="BG27" s="3">
        <f t="shared" si="72"/>
        <v>0</v>
      </c>
      <c r="BH27" s="34">
        <f t="shared" si="65"/>
        <v>0</v>
      </c>
      <c r="BI27" s="3">
        <f t="shared" si="49"/>
        <v>800</v>
      </c>
      <c r="BJ27" s="3">
        <f t="shared" si="34"/>
        <v>1474.3743269576105</v>
      </c>
      <c r="BK27" s="3">
        <f t="shared" si="50"/>
        <v>800</v>
      </c>
      <c r="BL27" s="3">
        <f t="shared" si="35"/>
        <v>157.34429576227464</v>
      </c>
      <c r="BM27" s="3">
        <f t="shared" si="51"/>
        <v>120</v>
      </c>
      <c r="BN27" s="3">
        <f t="shared" si="36"/>
        <v>226.40095890238408</v>
      </c>
      <c r="BO27" s="3">
        <f t="shared" si="37"/>
        <v>800</v>
      </c>
      <c r="BP27" s="3">
        <f t="shared" si="38"/>
        <v>95.64952480829918</v>
      </c>
      <c r="BQ27" s="3">
        <f t="shared" si="52"/>
        <v>800</v>
      </c>
      <c r="BR27" s="3">
        <f t="shared" si="53"/>
        <v>0</v>
      </c>
      <c r="BS27" s="3">
        <f t="shared" si="39"/>
        <v>7.91774704831169</v>
      </c>
      <c r="BT27" s="3">
        <f t="shared" si="9"/>
        <v>364.9853553136593</v>
      </c>
      <c r="BU27" s="3">
        <f t="shared" si="54"/>
        <v>800</v>
      </c>
      <c r="BV27" s="3">
        <f t="shared" si="40"/>
        <v>72.84458137142344</v>
      </c>
      <c r="BW27" s="3">
        <f t="shared" si="55"/>
        <v>800</v>
      </c>
      <c r="BX27" s="3">
        <f t="shared" si="41"/>
        <v>64.1963586748057</v>
      </c>
      <c r="BY27" s="3">
        <f t="shared" si="56"/>
        <v>800</v>
      </c>
      <c r="BZ27" s="3">
        <f t="shared" si="57"/>
        <v>0</v>
      </c>
      <c r="CA27" s="3">
        <f t="shared" si="42"/>
        <v>103.010368944093</v>
      </c>
      <c r="CB27" s="3">
        <f t="shared" si="58"/>
        <v>800</v>
      </c>
      <c r="CC27" s="3">
        <f t="shared" si="59"/>
        <v>0</v>
      </c>
      <c r="CD27" s="3">
        <f t="shared" si="43"/>
        <v>50.73247341580976</v>
      </c>
      <c r="CE27" s="3">
        <f t="shared" si="70"/>
        <v>212.26915797101458</v>
      </c>
      <c r="CF27" s="3">
        <f t="shared" si="66"/>
        <v>57.10343650702124</v>
      </c>
      <c r="CG27" s="34">
        <f t="shared" si="44"/>
        <v>0</v>
      </c>
      <c r="CH27" s="34">
        <f t="shared" si="45"/>
        <v>0</v>
      </c>
      <c r="CK27" s="15" t="s">
        <v>96</v>
      </c>
      <c r="CL27" s="11">
        <f>IF($Q$2=1,CL28,IF($Q$2=2,CL29,IF($Q$2=3,CL30,IF($Q$2=4,CL31,IF($Q$2=5,CL32,IF($Q$2=6,CL33,IF($Q$2=7,CL34,IF($Q$2=8,CL35,0))))))))</f>
        <v>18800</v>
      </c>
      <c r="CM27" s="11">
        <f>IF($Q$2=1,CM28,IF($Q$2=2,CM29,IF($Q$2=3,CM30,IF($Q$2=4,CM31,IF($Q$2=5,CM32,IF($Q$2=6,CM33,IF($Q$2=7,CM34,IF($Q$2=8,CM35,0))))))))</f>
        <v>19900</v>
      </c>
      <c r="CN27" s="11">
        <f>IF($Q$2=1,CN28,IF($Q$2=2,CN29,IF($Q$2=3,CN30,IF($Q$2=4,CN31,IF($Q$2=5,CN32,IF($Q$2=6,CN33,IF($Q$2=7,CN34,IF($Q$2=8,CN35,0))))))))</f>
        <v>22000</v>
      </c>
      <c r="CO27" s="11">
        <f>IF($Q$2=1,CO28,IF($Q$2=2,CO29,IF($Q$2=3,CO30,IF($Q$2=4,CO31,IF($Q$2=5,CO32,IF($Q$2=6,CO33,IF($Q$2=7,CO34,IF($Q$2=8,CO35,0))))))))</f>
        <v>25100</v>
      </c>
      <c r="CP27" s="11">
        <f>IF($Q$2=1,CP28,IF($Q$2=2,CP29,IF($Q$2=3,CP30,IF($Q$2=4,CP31,IF($Q$2=5,CP32,IF($Q$2=6,CP33,IF($Q$2=7,CP34,IF($Q$2=8,CP35,0))))))))</f>
        <v>29300</v>
      </c>
      <c r="CQ27" s="11"/>
    </row>
    <row r="28" spans="1:100" ht="14.25">
      <c r="A28" s="1">
        <f t="shared" si="0"/>
        <v>2016</v>
      </c>
      <c r="B28" s="47">
        <v>3958.9587756</v>
      </c>
      <c r="C28" s="2">
        <f t="shared" si="71"/>
        <v>120</v>
      </c>
      <c r="F28" s="2">
        <f t="shared" si="10"/>
        <v>120</v>
      </c>
      <c r="G28" s="14">
        <f t="shared" si="1"/>
        <v>955.8558173913046</v>
      </c>
      <c r="H28" s="14">
        <f t="shared" si="2"/>
        <v>1075.8558173913048</v>
      </c>
      <c r="I28" s="7"/>
      <c r="J28" s="2"/>
      <c r="K28" s="2"/>
      <c r="L28" s="2"/>
      <c r="M28" s="3">
        <f t="shared" si="11"/>
        <v>800</v>
      </c>
      <c r="N28" s="3">
        <f t="shared" si="12"/>
        <v>800</v>
      </c>
      <c r="O28" s="2">
        <f t="shared" si="67"/>
        <v>800</v>
      </c>
      <c r="P28" s="14">
        <f t="shared" si="60"/>
        <v>52.5</v>
      </c>
      <c r="Q28" s="14">
        <f t="shared" si="61"/>
        <v>0</v>
      </c>
      <c r="R28" s="14">
        <f t="shared" si="62"/>
        <v>0</v>
      </c>
      <c r="S28" s="14">
        <f t="shared" si="63"/>
        <v>160.60249130434795</v>
      </c>
      <c r="T28" s="14">
        <f t="shared" si="68"/>
        <v>213.10249130434795</v>
      </c>
      <c r="U28" s="13"/>
      <c r="V28" s="13"/>
      <c r="W28" s="13"/>
      <c r="X28" s="13"/>
      <c r="Y28" s="13"/>
      <c r="Z28" s="1">
        <f t="shared" si="15"/>
        <v>800</v>
      </c>
      <c r="AA28" s="1">
        <f t="shared" si="16"/>
        <v>0</v>
      </c>
      <c r="AB28" s="15">
        <f t="shared" si="17"/>
        <v>800</v>
      </c>
      <c r="AC28" s="2">
        <f t="shared" si="18"/>
        <v>0</v>
      </c>
      <c r="AD28" s="2">
        <f t="shared" si="19"/>
        <v>0</v>
      </c>
      <c r="AE28" s="2">
        <f t="shared" si="20"/>
        <v>0</v>
      </c>
      <c r="AF28" s="2">
        <f t="shared" si="21"/>
        <v>0</v>
      </c>
      <c r="AG28" s="2">
        <f t="shared" si="22"/>
        <v>0</v>
      </c>
      <c r="AH28" s="2">
        <f t="shared" si="23"/>
        <v>0</v>
      </c>
      <c r="AI28" s="2">
        <f t="shared" si="46"/>
        <v>0</v>
      </c>
      <c r="AJ28" s="2">
        <f t="shared" si="24"/>
        <v>800</v>
      </c>
      <c r="AK28" s="2">
        <f t="shared" si="25"/>
        <v>0</v>
      </c>
      <c r="AL28" s="2">
        <f t="shared" si="47"/>
        <v>800</v>
      </c>
      <c r="AM28" s="2">
        <f t="shared" si="26"/>
        <v>120</v>
      </c>
      <c r="AN28" s="2">
        <f t="shared" si="27"/>
        <v>0</v>
      </c>
      <c r="AO28" s="2">
        <f t="shared" si="28"/>
        <v>0</v>
      </c>
      <c r="AP28" s="2">
        <f t="shared" si="29"/>
        <v>0</v>
      </c>
      <c r="AQ28" s="2">
        <f t="shared" si="30"/>
        <v>0</v>
      </c>
      <c r="AR28" s="2">
        <f t="shared" si="31"/>
        <v>0</v>
      </c>
      <c r="AS28" s="2">
        <f t="shared" si="32"/>
        <v>0</v>
      </c>
      <c r="AT28" s="2">
        <f t="shared" si="33"/>
        <v>0</v>
      </c>
      <c r="AU28" s="2">
        <f t="shared" si="48"/>
        <v>120</v>
      </c>
      <c r="AV28" s="2">
        <f t="shared" si="3"/>
        <v>0</v>
      </c>
      <c r="AW28" s="2">
        <f t="shared" si="4"/>
        <v>0</v>
      </c>
      <c r="AX28" s="2">
        <f t="shared" si="5"/>
        <v>955.8558173913046</v>
      </c>
      <c r="AY28" s="2">
        <f t="shared" si="6"/>
        <v>120</v>
      </c>
      <c r="AZ28" s="19"/>
      <c r="BA28" s="2">
        <f t="shared" si="7"/>
        <v>2867.97983745099</v>
      </c>
      <c r="BB28" s="2">
        <f t="shared" si="8"/>
        <v>1582.7401565914463</v>
      </c>
      <c r="BC28" s="4">
        <f t="shared" si="69"/>
        <v>213.10249130434795</v>
      </c>
      <c r="BD28" s="11">
        <f t="shared" si="64"/>
        <v>24.35037140121197</v>
      </c>
      <c r="BE28" s="3">
        <f t="shared" si="13"/>
        <v>800</v>
      </c>
      <c r="BF28" s="34">
        <f t="shared" si="14"/>
        <v>102.83940899495074</v>
      </c>
      <c r="BG28" s="3">
        <f t="shared" si="72"/>
        <v>0</v>
      </c>
      <c r="BH28" s="34">
        <f t="shared" si="65"/>
        <v>0</v>
      </c>
      <c r="BI28" s="3">
        <f t="shared" si="49"/>
        <v>800</v>
      </c>
      <c r="BJ28" s="3">
        <f t="shared" si="34"/>
        <v>1445.4650264290299</v>
      </c>
      <c r="BK28" s="3">
        <f t="shared" si="50"/>
        <v>800</v>
      </c>
      <c r="BL28" s="3">
        <f t="shared" si="35"/>
        <v>154.2591134924261</v>
      </c>
      <c r="BM28" s="3">
        <f t="shared" si="51"/>
        <v>120</v>
      </c>
      <c r="BN28" s="3">
        <f t="shared" si="36"/>
        <v>221.961724414102</v>
      </c>
      <c r="BO28" s="3">
        <f t="shared" si="37"/>
        <v>800</v>
      </c>
      <c r="BP28" s="3">
        <f t="shared" si="38"/>
        <v>93.77404392970509</v>
      </c>
      <c r="BQ28" s="3">
        <f t="shared" si="52"/>
        <v>800</v>
      </c>
      <c r="BR28" s="3">
        <f t="shared" si="53"/>
        <v>0</v>
      </c>
      <c r="BS28" s="3">
        <f t="shared" si="39"/>
        <v>7.762497106187931</v>
      </c>
      <c r="BT28" s="3">
        <f t="shared" si="9"/>
        <v>357.8287797192737</v>
      </c>
      <c r="BU28" s="3">
        <f t="shared" si="54"/>
        <v>800</v>
      </c>
      <c r="BV28" s="3">
        <f t="shared" si="40"/>
        <v>71.41625624649357</v>
      </c>
      <c r="BW28" s="3">
        <f t="shared" si="55"/>
        <v>800</v>
      </c>
      <c r="BX28" s="3">
        <f t="shared" si="41"/>
        <v>62.937606543927146</v>
      </c>
      <c r="BY28" s="3">
        <f t="shared" si="56"/>
        <v>800</v>
      </c>
      <c r="BZ28" s="3">
        <f t="shared" si="57"/>
        <v>0</v>
      </c>
      <c r="CA28" s="3">
        <f t="shared" si="42"/>
        <v>100.99055778832647</v>
      </c>
      <c r="CB28" s="3">
        <f t="shared" si="58"/>
        <v>800</v>
      </c>
      <c r="CC28" s="3">
        <f t="shared" si="59"/>
        <v>0</v>
      </c>
      <c r="CD28" s="3">
        <f t="shared" si="43"/>
        <v>49.7377190351076</v>
      </c>
      <c r="CE28" s="3">
        <f t="shared" si="70"/>
        <v>213.10249130434795</v>
      </c>
      <c r="CF28" s="3">
        <f t="shared" si="66"/>
        <v>56.203544196853656</v>
      </c>
      <c r="CG28" s="34">
        <f t="shared" si="44"/>
        <v>0</v>
      </c>
      <c r="CH28" s="34">
        <f t="shared" si="45"/>
        <v>0</v>
      </c>
      <c r="CJ28" s="15"/>
      <c r="CK28" s="72" t="s">
        <v>101</v>
      </c>
      <c r="CL28" s="99">
        <v>24400</v>
      </c>
      <c r="CM28" s="100">
        <v>25600</v>
      </c>
      <c r="CN28" s="100">
        <v>28100</v>
      </c>
      <c r="CO28" s="100">
        <v>31600</v>
      </c>
      <c r="CP28" s="101">
        <v>36300</v>
      </c>
      <c r="CQ28" s="103"/>
      <c r="CR28" s="103"/>
      <c r="CS28" s="103"/>
      <c r="CT28" s="103"/>
      <c r="CU28" s="103"/>
      <c r="CV28" s="103"/>
    </row>
    <row r="29" spans="1:100" ht="14.25">
      <c r="A29" s="1">
        <f t="shared" si="0"/>
        <v>2017</v>
      </c>
      <c r="B29" s="47">
        <v>3958.9587756</v>
      </c>
      <c r="C29" s="2">
        <f t="shared" si="71"/>
        <v>120</v>
      </c>
      <c r="F29" s="2">
        <f t="shared" si="10"/>
        <v>120</v>
      </c>
      <c r="G29" s="14">
        <f t="shared" si="1"/>
        <v>955.8558173913046</v>
      </c>
      <c r="H29" s="14">
        <f t="shared" si="2"/>
        <v>1075.8558173913048</v>
      </c>
      <c r="I29" s="7"/>
      <c r="J29" s="2"/>
      <c r="K29" s="2"/>
      <c r="L29" s="2"/>
      <c r="M29" s="3">
        <f t="shared" si="11"/>
        <v>800</v>
      </c>
      <c r="N29" s="3">
        <f t="shared" si="12"/>
        <v>800</v>
      </c>
      <c r="O29" s="2">
        <f t="shared" si="67"/>
        <v>800</v>
      </c>
      <c r="P29" s="14">
        <f t="shared" si="60"/>
        <v>72</v>
      </c>
      <c r="Q29" s="14">
        <f t="shared" si="61"/>
        <v>0</v>
      </c>
      <c r="R29" s="14">
        <f t="shared" si="62"/>
        <v>0</v>
      </c>
      <c r="S29" s="14">
        <f t="shared" si="63"/>
        <v>170.92581739130435</v>
      </c>
      <c r="T29" s="14">
        <f t="shared" si="68"/>
        <v>242.92581739130435</v>
      </c>
      <c r="U29" s="13"/>
      <c r="V29" s="13"/>
      <c r="W29" s="13"/>
      <c r="X29" s="13"/>
      <c r="Y29" s="13"/>
      <c r="Z29" s="1">
        <f t="shared" si="15"/>
        <v>800</v>
      </c>
      <c r="AA29" s="1">
        <f t="shared" si="16"/>
        <v>0</v>
      </c>
      <c r="AB29" s="15">
        <f t="shared" si="17"/>
        <v>800</v>
      </c>
      <c r="AC29" s="2">
        <f t="shared" si="18"/>
        <v>0</v>
      </c>
      <c r="AD29" s="2">
        <f t="shared" si="19"/>
        <v>0</v>
      </c>
      <c r="AE29" s="2">
        <f t="shared" si="20"/>
        <v>0</v>
      </c>
      <c r="AF29" s="2">
        <f t="shared" si="21"/>
        <v>0</v>
      </c>
      <c r="AG29" s="2">
        <f t="shared" si="22"/>
        <v>0</v>
      </c>
      <c r="AH29" s="2">
        <f t="shared" si="23"/>
        <v>0</v>
      </c>
      <c r="AI29" s="2">
        <f t="shared" si="46"/>
        <v>0</v>
      </c>
      <c r="AJ29" s="2">
        <f t="shared" si="24"/>
        <v>800</v>
      </c>
      <c r="AK29" s="2">
        <f t="shared" si="25"/>
        <v>0</v>
      </c>
      <c r="AL29" s="2">
        <f t="shared" si="47"/>
        <v>800</v>
      </c>
      <c r="AM29" s="2">
        <f t="shared" si="26"/>
        <v>120</v>
      </c>
      <c r="AN29" s="2">
        <f t="shared" si="27"/>
        <v>0</v>
      </c>
      <c r="AO29" s="2">
        <f t="shared" si="28"/>
        <v>0</v>
      </c>
      <c r="AP29" s="2">
        <f t="shared" si="29"/>
        <v>0</v>
      </c>
      <c r="AQ29" s="2">
        <f t="shared" si="30"/>
        <v>0</v>
      </c>
      <c r="AR29" s="2">
        <f t="shared" si="31"/>
        <v>0</v>
      </c>
      <c r="AS29" s="2">
        <f t="shared" si="32"/>
        <v>0</v>
      </c>
      <c r="AT29" s="2">
        <f t="shared" si="33"/>
        <v>0</v>
      </c>
      <c r="AU29" s="2">
        <f t="shared" si="48"/>
        <v>120</v>
      </c>
      <c r="AV29" s="2">
        <f t="shared" si="3"/>
        <v>0</v>
      </c>
      <c r="AW29" s="2">
        <f t="shared" si="4"/>
        <v>0</v>
      </c>
      <c r="AX29" s="2">
        <f t="shared" si="5"/>
        <v>955.8558173913046</v>
      </c>
      <c r="AY29" s="2">
        <f t="shared" si="6"/>
        <v>120</v>
      </c>
      <c r="AZ29" s="19"/>
      <c r="BA29" s="2">
        <f t="shared" si="7"/>
        <v>2811.7449386774415</v>
      </c>
      <c r="BB29" s="2">
        <f t="shared" si="8"/>
        <v>1551.706035873967</v>
      </c>
      <c r="BC29" s="4">
        <f t="shared" si="69"/>
        <v>242.92581739130435</v>
      </c>
      <c r="BD29" s="11">
        <f t="shared" si="64"/>
        <v>27.213886154833407</v>
      </c>
      <c r="BE29" s="3">
        <f t="shared" si="13"/>
        <v>800</v>
      </c>
      <c r="BF29" s="34">
        <f t="shared" si="14"/>
        <v>100.82294999504975</v>
      </c>
      <c r="BG29" s="3">
        <f t="shared" si="72"/>
        <v>0</v>
      </c>
      <c r="BH29" s="34">
        <f t="shared" si="65"/>
        <v>0</v>
      </c>
      <c r="BI29" s="3">
        <f t="shared" si="49"/>
        <v>800</v>
      </c>
      <c r="BJ29" s="3">
        <f t="shared" si="34"/>
        <v>1417.1225749304215</v>
      </c>
      <c r="BK29" s="3">
        <f t="shared" si="50"/>
        <v>800</v>
      </c>
      <c r="BL29" s="3">
        <f t="shared" si="35"/>
        <v>151.23442499257465</v>
      </c>
      <c r="BM29" s="3">
        <f t="shared" si="51"/>
        <v>120</v>
      </c>
      <c r="BN29" s="3">
        <f t="shared" si="36"/>
        <v>217.6095337393157</v>
      </c>
      <c r="BO29" s="3">
        <f t="shared" si="37"/>
        <v>800</v>
      </c>
      <c r="BP29" s="3">
        <f t="shared" si="38"/>
        <v>91.93533718598538</v>
      </c>
      <c r="BQ29" s="3">
        <f t="shared" si="52"/>
        <v>800</v>
      </c>
      <c r="BR29" s="3">
        <f t="shared" si="53"/>
        <v>0</v>
      </c>
      <c r="BS29" s="3">
        <f t="shared" si="39"/>
        <v>7.610291280576403</v>
      </c>
      <c r="BT29" s="3">
        <f t="shared" si="9"/>
        <v>350.8125291365429</v>
      </c>
      <c r="BU29" s="3">
        <f t="shared" si="54"/>
        <v>800</v>
      </c>
      <c r="BV29" s="3">
        <f t="shared" si="40"/>
        <v>70.01593749656233</v>
      </c>
      <c r="BW29" s="3">
        <f t="shared" si="55"/>
        <v>800</v>
      </c>
      <c r="BX29" s="3">
        <f t="shared" si="41"/>
        <v>61.703535827379554</v>
      </c>
      <c r="BY29" s="3">
        <f t="shared" si="56"/>
        <v>800</v>
      </c>
      <c r="BZ29" s="3">
        <f t="shared" si="57"/>
        <v>0</v>
      </c>
      <c r="CA29" s="3">
        <f t="shared" si="42"/>
        <v>99.01035077286907</v>
      </c>
      <c r="CB29" s="3">
        <f t="shared" si="58"/>
        <v>800</v>
      </c>
      <c r="CC29" s="3">
        <f t="shared" si="59"/>
        <v>0</v>
      </c>
      <c r="CD29" s="3">
        <f t="shared" si="43"/>
        <v>48.76246964226235</v>
      </c>
      <c r="CE29" s="3">
        <f t="shared" si="70"/>
        <v>242.92581739130435</v>
      </c>
      <c r="CF29" s="3">
        <f t="shared" si="66"/>
        <v>62.81287574920502</v>
      </c>
      <c r="CG29" s="34">
        <f t="shared" si="44"/>
        <v>0</v>
      </c>
      <c r="CH29" s="34">
        <f t="shared" si="45"/>
        <v>0</v>
      </c>
      <c r="CJ29" s="15"/>
      <c r="CK29" s="72" t="s">
        <v>102</v>
      </c>
      <c r="CL29" s="102">
        <v>18800</v>
      </c>
      <c r="CM29" s="103">
        <v>19900</v>
      </c>
      <c r="CN29" s="103">
        <v>22000</v>
      </c>
      <c r="CO29" s="103">
        <v>25100</v>
      </c>
      <c r="CP29" s="104">
        <v>29300</v>
      </c>
      <c r="CQ29" s="103"/>
      <c r="CR29" s="103"/>
      <c r="CS29" s="103"/>
      <c r="CT29" s="103"/>
      <c r="CU29" s="103"/>
      <c r="CV29" s="103"/>
    </row>
    <row r="30" spans="1:100" ht="14.25">
      <c r="A30" s="1">
        <f t="shared" si="0"/>
        <v>2018</v>
      </c>
      <c r="B30" s="47">
        <v>4061.2623786</v>
      </c>
      <c r="C30" s="2">
        <f t="shared" si="71"/>
        <v>120</v>
      </c>
      <c r="F30" s="2">
        <f t="shared" si="10"/>
        <v>120</v>
      </c>
      <c r="G30" s="14">
        <f t="shared" si="1"/>
        <v>983.3125009661835</v>
      </c>
      <c r="H30" s="14">
        <f t="shared" si="2"/>
        <v>1103.3125009661835</v>
      </c>
      <c r="I30" s="7"/>
      <c r="J30" s="2"/>
      <c r="K30" s="2"/>
      <c r="L30" s="2"/>
      <c r="M30" s="3">
        <f t="shared" si="11"/>
        <v>800</v>
      </c>
      <c r="N30" s="3">
        <f t="shared" si="12"/>
        <v>800</v>
      </c>
      <c r="O30" s="2">
        <f t="shared" si="67"/>
        <v>800</v>
      </c>
      <c r="P30" s="14">
        <f t="shared" si="60"/>
        <v>96</v>
      </c>
      <c r="Q30" s="14">
        <f t="shared" si="61"/>
        <v>0</v>
      </c>
      <c r="R30" s="14">
        <f t="shared" si="62"/>
        <v>0</v>
      </c>
      <c r="S30" s="14">
        <f t="shared" si="63"/>
        <v>149.59248405797098</v>
      </c>
      <c r="T30" s="14">
        <f t="shared" si="68"/>
        <v>245.59248405797098</v>
      </c>
      <c r="U30" s="13"/>
      <c r="V30" s="13"/>
      <c r="W30" s="13"/>
      <c r="X30" s="13"/>
      <c r="Y30" s="13"/>
      <c r="Z30" s="1">
        <f t="shared" si="15"/>
        <v>800</v>
      </c>
      <c r="AA30" s="1">
        <f t="shared" si="16"/>
        <v>0</v>
      </c>
      <c r="AB30" s="15">
        <f t="shared" si="17"/>
        <v>800</v>
      </c>
      <c r="AC30" s="2">
        <f t="shared" si="18"/>
        <v>0</v>
      </c>
      <c r="AD30" s="2">
        <f t="shared" si="19"/>
        <v>0</v>
      </c>
      <c r="AE30" s="2">
        <f t="shared" si="20"/>
        <v>0</v>
      </c>
      <c r="AF30" s="2">
        <f t="shared" si="21"/>
        <v>0</v>
      </c>
      <c r="AG30" s="2">
        <f t="shared" si="22"/>
        <v>0</v>
      </c>
      <c r="AH30" s="2">
        <f t="shared" si="23"/>
        <v>0</v>
      </c>
      <c r="AI30" s="2">
        <f t="shared" si="46"/>
        <v>0</v>
      </c>
      <c r="AJ30" s="2">
        <f t="shared" si="24"/>
        <v>800</v>
      </c>
      <c r="AK30" s="2">
        <f t="shared" si="25"/>
        <v>0</v>
      </c>
      <c r="AL30" s="2">
        <f t="shared" si="47"/>
        <v>800</v>
      </c>
      <c r="AM30" s="2">
        <f t="shared" si="26"/>
        <v>120</v>
      </c>
      <c r="AN30" s="2">
        <f t="shared" si="27"/>
        <v>0</v>
      </c>
      <c r="AO30" s="2">
        <f t="shared" si="28"/>
        <v>0</v>
      </c>
      <c r="AP30" s="2">
        <f t="shared" si="29"/>
        <v>0</v>
      </c>
      <c r="AQ30" s="2">
        <f t="shared" si="30"/>
        <v>0</v>
      </c>
      <c r="AR30" s="2">
        <f t="shared" si="31"/>
        <v>0</v>
      </c>
      <c r="AS30" s="2">
        <f t="shared" si="32"/>
        <v>0</v>
      </c>
      <c r="AT30" s="2">
        <f t="shared" si="33"/>
        <v>0</v>
      </c>
      <c r="AU30" s="2">
        <f t="shared" si="48"/>
        <v>120</v>
      </c>
      <c r="AV30" s="2">
        <f t="shared" si="3"/>
        <v>0</v>
      </c>
      <c r="AW30" s="2">
        <f t="shared" si="4"/>
        <v>0</v>
      </c>
      <c r="AX30" s="2">
        <f t="shared" si="5"/>
        <v>983.3125009661835</v>
      </c>
      <c r="AY30" s="2">
        <f t="shared" si="6"/>
        <v>120</v>
      </c>
      <c r="AZ30" s="19"/>
      <c r="BA30" s="2">
        <f t="shared" si="7"/>
        <v>2827.8464173134757</v>
      </c>
      <c r="BB30" s="2">
        <f t="shared" si="8"/>
        <v>1564.9787702802091</v>
      </c>
      <c r="BC30" s="4">
        <f t="shared" si="69"/>
        <v>245.59248405797098</v>
      </c>
      <c r="BD30" s="11">
        <f t="shared" si="64"/>
        <v>26.973157668122944</v>
      </c>
      <c r="BE30" s="3">
        <f t="shared" si="13"/>
        <v>800</v>
      </c>
      <c r="BF30" s="34">
        <f t="shared" si="14"/>
        <v>98.84602940691153</v>
      </c>
      <c r="BG30" s="3">
        <f t="shared" si="72"/>
        <v>0</v>
      </c>
      <c r="BH30" s="34">
        <f t="shared" si="65"/>
        <v>0</v>
      </c>
      <c r="BI30" s="3">
        <f t="shared" si="49"/>
        <v>800</v>
      </c>
      <c r="BJ30" s="3">
        <f t="shared" si="34"/>
        <v>1389.3358577749232</v>
      </c>
      <c r="BK30" s="3">
        <f t="shared" si="50"/>
        <v>800</v>
      </c>
      <c r="BL30" s="3">
        <f t="shared" si="35"/>
        <v>148.2690441103673</v>
      </c>
      <c r="BM30" s="3">
        <f t="shared" si="51"/>
        <v>120</v>
      </c>
      <c r="BN30" s="3">
        <f t="shared" si="36"/>
        <v>213.34268013658405</v>
      </c>
      <c r="BO30" s="3">
        <f t="shared" si="37"/>
        <v>800</v>
      </c>
      <c r="BP30" s="3">
        <f t="shared" si="38"/>
        <v>90.13268351567194</v>
      </c>
      <c r="BQ30" s="3">
        <f t="shared" si="52"/>
        <v>800</v>
      </c>
      <c r="BR30" s="3">
        <f t="shared" si="53"/>
        <v>0</v>
      </c>
      <c r="BS30" s="3">
        <f t="shared" si="39"/>
        <v>7.461069882918043</v>
      </c>
      <c r="BT30" s="3">
        <f t="shared" si="9"/>
        <v>352.82145973527713</v>
      </c>
      <c r="BU30" s="3">
        <f t="shared" si="54"/>
        <v>800</v>
      </c>
      <c r="BV30" s="3">
        <f t="shared" si="40"/>
        <v>68.6430759770219</v>
      </c>
      <c r="BW30" s="3">
        <f t="shared" si="55"/>
        <v>800</v>
      </c>
      <c r="BX30" s="3">
        <f t="shared" si="41"/>
        <v>60.49366257586231</v>
      </c>
      <c r="BY30" s="3">
        <f t="shared" si="56"/>
        <v>800</v>
      </c>
      <c r="BZ30" s="3">
        <f t="shared" si="57"/>
        <v>0</v>
      </c>
      <c r="CA30" s="3">
        <f t="shared" si="42"/>
        <v>97.06897134595009</v>
      </c>
      <c r="CB30" s="3">
        <f t="shared" si="58"/>
        <v>800</v>
      </c>
      <c r="CC30" s="3">
        <f t="shared" si="59"/>
        <v>0</v>
      </c>
      <c r="CD30" s="3">
        <f t="shared" si="43"/>
        <v>47.80634278653172</v>
      </c>
      <c r="CE30" s="3">
        <f t="shared" si="70"/>
        <v>245.59248405797098</v>
      </c>
      <c r="CF30" s="3">
        <f t="shared" si="66"/>
        <v>62.25724586088225</v>
      </c>
      <c r="CG30" s="34">
        <f t="shared" si="44"/>
        <v>0</v>
      </c>
      <c r="CH30" s="34">
        <f t="shared" si="45"/>
        <v>0</v>
      </c>
      <c r="CK30" s="72" t="s">
        <v>103</v>
      </c>
      <c r="CL30" s="105">
        <v>29600</v>
      </c>
      <c r="CM30" s="106">
        <v>30800</v>
      </c>
      <c r="CN30" s="106">
        <v>33600</v>
      </c>
      <c r="CO30" s="106">
        <v>37700</v>
      </c>
      <c r="CP30" s="107">
        <v>43200</v>
      </c>
      <c r="CQ30" s="106"/>
      <c r="CR30" s="106"/>
      <c r="CS30" s="106"/>
      <c r="CT30" s="106"/>
      <c r="CU30" s="106"/>
      <c r="CV30" s="106"/>
    </row>
    <row r="31" spans="1:100" ht="14.25">
      <c r="A31" s="1">
        <f t="shared" si="0"/>
        <v>2019</v>
      </c>
      <c r="B31" s="47">
        <v>4061.2623786</v>
      </c>
      <c r="C31" s="2">
        <f t="shared" si="71"/>
        <v>120</v>
      </c>
      <c r="F31" s="2">
        <f t="shared" si="10"/>
        <v>120</v>
      </c>
      <c r="G31" s="14">
        <f t="shared" si="1"/>
        <v>983.3125009661835</v>
      </c>
      <c r="H31" s="14">
        <f t="shared" si="2"/>
        <v>1103.3125009661835</v>
      </c>
      <c r="I31" s="7"/>
      <c r="J31" s="2"/>
      <c r="K31" s="2"/>
      <c r="L31" s="2"/>
      <c r="M31" s="3">
        <f t="shared" si="11"/>
        <v>800</v>
      </c>
      <c r="N31" s="3">
        <f t="shared" si="12"/>
        <v>800</v>
      </c>
      <c r="O31" s="2">
        <f t="shared" si="67"/>
        <v>800</v>
      </c>
      <c r="P31" s="14">
        <f t="shared" si="60"/>
        <v>120</v>
      </c>
      <c r="Q31" s="14">
        <f t="shared" si="61"/>
        <v>0</v>
      </c>
      <c r="R31" s="14">
        <f t="shared" si="62"/>
        <v>0</v>
      </c>
      <c r="S31" s="14">
        <f t="shared" si="63"/>
        <v>128.25915072463772</v>
      </c>
      <c r="T31" s="14">
        <f t="shared" si="68"/>
        <v>248.25915072463772</v>
      </c>
      <c r="U31" s="13"/>
      <c r="V31" s="13"/>
      <c r="W31" s="13"/>
      <c r="X31" s="13"/>
      <c r="Y31" s="13"/>
      <c r="Z31" s="1">
        <f t="shared" si="15"/>
        <v>800</v>
      </c>
      <c r="AA31" s="1">
        <f t="shared" si="16"/>
        <v>0</v>
      </c>
      <c r="AB31" s="15">
        <f t="shared" si="17"/>
        <v>800</v>
      </c>
      <c r="AC31" s="2">
        <f t="shared" si="18"/>
        <v>0</v>
      </c>
      <c r="AD31" s="2">
        <f t="shared" si="19"/>
        <v>0</v>
      </c>
      <c r="AE31" s="2">
        <f t="shared" si="20"/>
        <v>0</v>
      </c>
      <c r="AF31" s="2">
        <f t="shared" si="21"/>
        <v>0</v>
      </c>
      <c r="AG31" s="2">
        <f t="shared" si="22"/>
        <v>0</v>
      </c>
      <c r="AH31" s="2">
        <f t="shared" si="23"/>
        <v>0</v>
      </c>
      <c r="AI31" s="2">
        <f t="shared" si="46"/>
        <v>0</v>
      </c>
      <c r="AJ31" s="2">
        <f t="shared" si="24"/>
        <v>800</v>
      </c>
      <c r="AK31" s="2">
        <f t="shared" si="25"/>
        <v>0</v>
      </c>
      <c r="AL31" s="2">
        <f t="shared" si="47"/>
        <v>800</v>
      </c>
      <c r="AM31" s="2">
        <f t="shared" si="26"/>
        <v>120</v>
      </c>
      <c r="AN31" s="2">
        <f t="shared" si="27"/>
        <v>0</v>
      </c>
      <c r="AO31" s="2">
        <f t="shared" si="28"/>
        <v>0</v>
      </c>
      <c r="AP31" s="2">
        <f t="shared" si="29"/>
        <v>0</v>
      </c>
      <c r="AQ31" s="2">
        <f t="shared" si="30"/>
        <v>0</v>
      </c>
      <c r="AR31" s="2">
        <f t="shared" si="31"/>
        <v>0</v>
      </c>
      <c r="AS31" s="2">
        <f t="shared" si="32"/>
        <v>0</v>
      </c>
      <c r="AT31" s="2">
        <f t="shared" si="33"/>
        <v>0</v>
      </c>
      <c r="AU31" s="2">
        <f t="shared" si="48"/>
        <v>120</v>
      </c>
      <c r="AV31" s="2">
        <f t="shared" si="3"/>
        <v>0</v>
      </c>
      <c r="AW31" s="2">
        <f t="shared" si="4"/>
        <v>0</v>
      </c>
      <c r="AX31" s="2">
        <f t="shared" si="5"/>
        <v>983.3125009661835</v>
      </c>
      <c r="AY31" s="2">
        <f t="shared" si="6"/>
        <v>120</v>
      </c>
      <c r="AZ31" s="19"/>
      <c r="BA31" s="2">
        <f t="shared" si="7"/>
        <v>2772.3984483465456</v>
      </c>
      <c r="BB31" s="2">
        <f t="shared" si="8"/>
        <v>1534.2929120394213</v>
      </c>
      <c r="BC31" s="4">
        <f t="shared" si="69"/>
        <v>248.25915072463772</v>
      </c>
      <c r="BD31" s="11">
        <f t="shared" si="64"/>
        <v>26.73140665910939</v>
      </c>
      <c r="BE31" s="3">
        <f t="shared" si="13"/>
        <v>800</v>
      </c>
      <c r="BF31" s="34">
        <f t="shared" si="14"/>
        <v>96.90787196756031</v>
      </c>
      <c r="BG31" s="3">
        <f t="shared" si="72"/>
        <v>0</v>
      </c>
      <c r="BH31" s="34">
        <f t="shared" si="65"/>
        <v>0</v>
      </c>
      <c r="BI31" s="3">
        <f t="shared" si="49"/>
        <v>800</v>
      </c>
      <c r="BJ31" s="3">
        <f t="shared" si="34"/>
        <v>1362.0939782107089</v>
      </c>
      <c r="BK31" s="3">
        <f t="shared" si="50"/>
        <v>800</v>
      </c>
      <c r="BL31" s="3">
        <f t="shared" si="35"/>
        <v>145.36180795134047</v>
      </c>
      <c r="BM31" s="3">
        <f t="shared" si="51"/>
        <v>120</v>
      </c>
      <c r="BN31" s="3">
        <f t="shared" si="36"/>
        <v>209.15949032998435</v>
      </c>
      <c r="BO31" s="3">
        <f t="shared" si="37"/>
        <v>800</v>
      </c>
      <c r="BP31" s="3">
        <f t="shared" si="38"/>
        <v>88.36537599575679</v>
      </c>
      <c r="BQ31" s="3">
        <f t="shared" si="52"/>
        <v>800</v>
      </c>
      <c r="BR31" s="3">
        <f t="shared" si="53"/>
        <v>0</v>
      </c>
      <c r="BS31" s="3">
        <f t="shared" si="39"/>
        <v>7.314774395017689</v>
      </c>
      <c r="BT31" s="3">
        <f t="shared" si="9"/>
        <v>345.90339189733066</v>
      </c>
      <c r="BU31" s="3">
        <f t="shared" si="54"/>
        <v>800</v>
      </c>
      <c r="BV31" s="3">
        <f t="shared" si="40"/>
        <v>67.29713331080576</v>
      </c>
      <c r="BW31" s="3">
        <f t="shared" si="55"/>
        <v>800</v>
      </c>
      <c r="BX31" s="3">
        <f t="shared" si="41"/>
        <v>59.30751232927677</v>
      </c>
      <c r="BY31" s="3">
        <f t="shared" si="56"/>
        <v>800</v>
      </c>
      <c r="BZ31" s="3">
        <f t="shared" si="57"/>
        <v>0</v>
      </c>
      <c r="CA31" s="3">
        <f t="shared" si="42"/>
        <v>95.165658182304</v>
      </c>
      <c r="CB31" s="3">
        <f t="shared" si="58"/>
        <v>800</v>
      </c>
      <c r="CC31" s="3">
        <f t="shared" si="59"/>
        <v>0</v>
      </c>
      <c r="CD31" s="3">
        <f t="shared" si="43"/>
        <v>46.868963516207565</v>
      </c>
      <c r="CE31" s="3">
        <f t="shared" si="70"/>
        <v>248.25915072463772</v>
      </c>
      <c r="CF31" s="3">
        <f t="shared" si="66"/>
        <v>61.69925586985276</v>
      </c>
      <c r="CG31" s="34">
        <f t="shared" si="44"/>
        <v>0</v>
      </c>
      <c r="CH31" s="34">
        <f t="shared" si="45"/>
        <v>0</v>
      </c>
      <c r="CJ31" s="15"/>
      <c r="CK31" s="72" t="s">
        <v>104</v>
      </c>
      <c r="CL31" s="108">
        <v>16700</v>
      </c>
      <c r="CM31" s="109">
        <v>17300</v>
      </c>
      <c r="CN31" s="109">
        <v>18900</v>
      </c>
      <c r="CO31" s="109">
        <v>21500</v>
      </c>
      <c r="CP31" s="110">
        <v>25200</v>
      </c>
      <c r="CQ31" s="109"/>
      <c r="CR31" s="109"/>
      <c r="CS31" s="109"/>
      <c r="CT31" s="109"/>
      <c r="CU31" s="109"/>
      <c r="CV31" s="109"/>
    </row>
    <row r="32" spans="1:100" ht="14.25">
      <c r="A32" s="1">
        <f t="shared" si="0"/>
        <v>2020</v>
      </c>
      <c r="B32" s="47">
        <v>4061.2623786</v>
      </c>
      <c r="C32" s="2">
        <f t="shared" si="71"/>
        <v>120</v>
      </c>
      <c r="F32" s="2">
        <f t="shared" si="10"/>
        <v>120</v>
      </c>
      <c r="G32" s="14">
        <f t="shared" si="1"/>
        <v>983.3125009661835</v>
      </c>
      <c r="H32" s="14">
        <f t="shared" si="2"/>
        <v>1103.3125009661835</v>
      </c>
      <c r="I32" s="7"/>
      <c r="J32" s="2"/>
      <c r="K32" s="2"/>
      <c r="L32" s="2"/>
      <c r="M32" s="3">
        <f t="shared" si="11"/>
        <v>800</v>
      </c>
      <c r="N32" s="3">
        <f t="shared" si="12"/>
        <v>800</v>
      </c>
      <c r="O32" s="2">
        <f t="shared" si="67"/>
        <v>800</v>
      </c>
      <c r="P32" s="14">
        <f t="shared" si="60"/>
        <v>120</v>
      </c>
      <c r="Q32" s="14">
        <f t="shared" si="61"/>
        <v>0</v>
      </c>
      <c r="R32" s="14">
        <f t="shared" si="62"/>
        <v>0</v>
      </c>
      <c r="S32" s="14">
        <f t="shared" si="63"/>
        <v>155.85581739130464</v>
      </c>
      <c r="T32" s="14">
        <f t="shared" si="68"/>
        <v>275.85581739130464</v>
      </c>
      <c r="Z32" s="1">
        <f t="shared" si="15"/>
        <v>800</v>
      </c>
      <c r="AA32" s="1">
        <f t="shared" si="16"/>
        <v>0</v>
      </c>
      <c r="AB32" s="15">
        <f t="shared" si="17"/>
        <v>800</v>
      </c>
      <c r="AC32" s="2">
        <f t="shared" si="18"/>
        <v>0</v>
      </c>
      <c r="AD32" s="2">
        <f t="shared" si="19"/>
        <v>0</v>
      </c>
      <c r="AE32" s="2">
        <f t="shared" si="20"/>
        <v>0</v>
      </c>
      <c r="AF32" s="2">
        <f t="shared" si="21"/>
        <v>0</v>
      </c>
      <c r="AG32" s="2">
        <f t="shared" si="22"/>
        <v>0</v>
      </c>
      <c r="AH32" s="2">
        <f t="shared" si="23"/>
        <v>0</v>
      </c>
      <c r="AI32" s="2">
        <f t="shared" si="46"/>
        <v>0</v>
      </c>
      <c r="AJ32" s="2">
        <f t="shared" si="24"/>
        <v>800</v>
      </c>
      <c r="AK32" s="2">
        <f t="shared" si="25"/>
        <v>0</v>
      </c>
      <c r="AL32" s="2">
        <f t="shared" si="47"/>
        <v>800</v>
      </c>
      <c r="AM32" s="2">
        <f t="shared" si="26"/>
        <v>120</v>
      </c>
      <c r="AN32" s="2">
        <f t="shared" si="27"/>
        <v>0</v>
      </c>
      <c r="AO32" s="2">
        <f t="shared" si="28"/>
        <v>0</v>
      </c>
      <c r="AP32" s="2">
        <f t="shared" si="29"/>
        <v>0</v>
      </c>
      <c r="AQ32" s="2">
        <f t="shared" si="30"/>
        <v>0</v>
      </c>
      <c r="AR32" s="2">
        <f t="shared" si="31"/>
        <v>0</v>
      </c>
      <c r="AS32" s="2">
        <f t="shared" si="32"/>
        <v>0</v>
      </c>
      <c r="AT32" s="2">
        <f t="shared" si="33"/>
        <v>0</v>
      </c>
      <c r="AU32" s="2">
        <f t="shared" si="48"/>
        <v>120</v>
      </c>
      <c r="AV32" s="2">
        <f t="shared" si="3"/>
        <v>0</v>
      </c>
      <c r="AW32" s="2">
        <f t="shared" si="4"/>
        <v>0</v>
      </c>
      <c r="AX32" s="2">
        <f t="shared" si="5"/>
        <v>983.3125009661835</v>
      </c>
      <c r="AY32" s="2">
        <f t="shared" si="6"/>
        <v>120</v>
      </c>
      <c r="AZ32" s="19"/>
      <c r="BA32" s="2">
        <f t="shared" si="7"/>
        <v>2718.0376944573973</v>
      </c>
      <c r="BB32" s="2">
        <f t="shared" si="8"/>
        <v>1504.2087372935498</v>
      </c>
      <c r="BC32" s="4">
        <f t="shared" si="69"/>
        <v>275.85581739130464</v>
      </c>
      <c r="BD32" s="11">
        <f t="shared" si="64"/>
        <v>29.12047955693164</v>
      </c>
      <c r="BE32" s="3">
        <f t="shared" si="13"/>
        <v>800</v>
      </c>
      <c r="BF32" s="34">
        <f t="shared" si="14"/>
        <v>95.00771761525522</v>
      </c>
      <c r="BG32" s="3">
        <f t="shared" si="72"/>
        <v>0</v>
      </c>
      <c r="BH32" s="34">
        <f t="shared" si="65"/>
        <v>0</v>
      </c>
      <c r="BI32" s="3">
        <f t="shared" si="49"/>
        <v>800</v>
      </c>
      <c r="BJ32" s="3">
        <f t="shared" si="34"/>
        <v>1335.386253147754</v>
      </c>
      <c r="BK32" s="3">
        <f t="shared" si="50"/>
        <v>800</v>
      </c>
      <c r="BL32" s="3">
        <f t="shared" si="35"/>
        <v>142.51157642288283</v>
      </c>
      <c r="BM32" s="3">
        <f t="shared" si="51"/>
        <v>120</v>
      </c>
      <c r="BN32" s="3">
        <f t="shared" si="36"/>
        <v>205.05832385292584</v>
      </c>
      <c r="BO32" s="3">
        <f t="shared" si="37"/>
        <v>800</v>
      </c>
      <c r="BP32" s="3">
        <f t="shared" si="38"/>
        <v>86.63272156446745</v>
      </c>
      <c r="BQ32" s="3">
        <f t="shared" si="52"/>
        <v>800</v>
      </c>
      <c r="BR32" s="3">
        <f t="shared" si="53"/>
        <v>0</v>
      </c>
      <c r="BS32" s="3">
        <f t="shared" si="39"/>
        <v>7.171347446095773</v>
      </c>
      <c r="BT32" s="3">
        <f t="shared" si="9"/>
        <v>339.1209724483633</v>
      </c>
      <c r="BU32" s="3">
        <f t="shared" si="54"/>
        <v>800</v>
      </c>
      <c r="BV32" s="3">
        <f t="shared" si="40"/>
        <v>65.97758167726057</v>
      </c>
      <c r="BW32" s="3">
        <f t="shared" si="55"/>
        <v>800</v>
      </c>
      <c r="BX32" s="3">
        <f t="shared" si="41"/>
        <v>58.1446199306635</v>
      </c>
      <c r="BY32" s="3">
        <f t="shared" si="56"/>
        <v>800</v>
      </c>
      <c r="BZ32" s="3">
        <f t="shared" si="57"/>
        <v>0</v>
      </c>
      <c r="CA32" s="3">
        <f t="shared" si="42"/>
        <v>93.29966488461177</v>
      </c>
      <c r="CB32" s="3">
        <f t="shared" si="58"/>
        <v>800</v>
      </c>
      <c r="CC32" s="3">
        <f t="shared" si="59"/>
        <v>0</v>
      </c>
      <c r="CD32" s="3">
        <f t="shared" si="43"/>
        <v>45.949964231576054</v>
      </c>
      <c r="CE32" s="3">
        <f t="shared" si="70"/>
        <v>275.85581739130464</v>
      </c>
      <c r="CF32" s="3">
        <f t="shared" si="66"/>
        <v>67.21351936874852</v>
      </c>
      <c r="CG32" s="34">
        <f t="shared" si="44"/>
        <v>0</v>
      </c>
      <c r="CH32" s="34">
        <f t="shared" si="45"/>
        <v>0</v>
      </c>
      <c r="CJ32" s="15"/>
      <c r="CK32" s="72" t="s">
        <v>105</v>
      </c>
      <c r="CL32" s="108">
        <v>22900</v>
      </c>
      <c r="CM32" s="109">
        <v>23400</v>
      </c>
      <c r="CN32" s="109">
        <v>25400</v>
      </c>
      <c r="CO32" s="109">
        <v>28500</v>
      </c>
      <c r="CP32" s="110">
        <v>33000</v>
      </c>
      <c r="CQ32" s="109"/>
      <c r="CR32" s="109"/>
      <c r="CS32" s="109"/>
      <c r="CT32" s="109"/>
      <c r="CU32" s="109"/>
      <c r="CV32" s="109"/>
    </row>
    <row r="33" spans="1:100" ht="14.25">
      <c r="A33" s="1">
        <f t="shared" si="0"/>
        <v>2021</v>
      </c>
      <c r="B33" s="47">
        <v>4164.4601136</v>
      </c>
      <c r="C33" s="2">
        <f t="shared" si="71"/>
        <v>120</v>
      </c>
      <c r="F33" s="2">
        <f t="shared" si="10"/>
        <v>120</v>
      </c>
      <c r="G33" s="14">
        <f t="shared" si="1"/>
        <v>1011.0091555555556</v>
      </c>
      <c r="H33" s="14">
        <f t="shared" si="2"/>
        <v>1131.0091555555555</v>
      </c>
      <c r="I33" s="7"/>
      <c r="J33" s="2"/>
      <c r="K33" s="2"/>
      <c r="L33" s="2"/>
      <c r="M33" s="3">
        <f t="shared" si="11"/>
        <v>800</v>
      </c>
      <c r="N33" s="3">
        <f t="shared" si="12"/>
        <v>800</v>
      </c>
      <c r="O33" s="2">
        <f t="shared" si="67"/>
        <v>800</v>
      </c>
      <c r="P33" s="14">
        <f t="shared" si="60"/>
        <v>120</v>
      </c>
      <c r="Q33" s="14">
        <f t="shared" si="61"/>
        <v>0</v>
      </c>
      <c r="R33" s="14">
        <f t="shared" si="62"/>
        <v>0</v>
      </c>
      <c r="S33" s="14">
        <f t="shared" si="63"/>
        <v>155.85581739130464</v>
      </c>
      <c r="T33" s="14">
        <f t="shared" si="68"/>
        <v>275.85581739130464</v>
      </c>
      <c r="Z33" s="1">
        <f t="shared" si="15"/>
        <v>800</v>
      </c>
      <c r="AA33" s="1">
        <f t="shared" si="16"/>
        <v>0</v>
      </c>
      <c r="AB33" s="15">
        <f t="shared" si="17"/>
        <v>800</v>
      </c>
      <c r="AC33" s="2">
        <f t="shared" si="18"/>
        <v>0</v>
      </c>
      <c r="AD33" s="2">
        <f t="shared" si="19"/>
        <v>0</v>
      </c>
      <c r="AE33" s="2">
        <f t="shared" si="20"/>
        <v>0</v>
      </c>
      <c r="AF33" s="2">
        <f t="shared" si="21"/>
        <v>0</v>
      </c>
      <c r="AG33" s="2">
        <f t="shared" si="22"/>
        <v>0</v>
      </c>
      <c r="AH33" s="2">
        <f t="shared" si="23"/>
        <v>0</v>
      </c>
      <c r="AI33" s="2">
        <f t="shared" si="46"/>
        <v>0</v>
      </c>
      <c r="AJ33" s="2">
        <f t="shared" si="24"/>
        <v>800</v>
      </c>
      <c r="AK33" s="2">
        <f t="shared" si="25"/>
        <v>0</v>
      </c>
      <c r="AL33" s="2">
        <f t="shared" si="47"/>
        <v>800</v>
      </c>
      <c r="AM33" s="2">
        <f t="shared" si="26"/>
        <v>120</v>
      </c>
      <c r="AN33" s="2">
        <f t="shared" si="27"/>
        <v>0</v>
      </c>
      <c r="AO33" s="2">
        <f t="shared" si="28"/>
        <v>0</v>
      </c>
      <c r="AP33" s="2">
        <f t="shared" si="29"/>
        <v>0</v>
      </c>
      <c r="AQ33" s="2">
        <f t="shared" si="30"/>
        <v>0</v>
      </c>
      <c r="AR33" s="2">
        <f t="shared" si="31"/>
        <v>0</v>
      </c>
      <c r="AS33" s="2">
        <f t="shared" si="32"/>
        <v>0</v>
      </c>
      <c r="AT33" s="2">
        <f t="shared" si="33"/>
        <v>0</v>
      </c>
      <c r="AU33" s="2">
        <f t="shared" si="48"/>
        <v>120</v>
      </c>
      <c r="AV33" s="2">
        <f t="shared" si="3"/>
        <v>0</v>
      </c>
      <c r="AW33" s="2">
        <f t="shared" si="4"/>
        <v>0</v>
      </c>
      <c r="AX33" s="2">
        <f t="shared" si="5"/>
        <v>1011.0091555555556</v>
      </c>
      <c r="AY33" s="2">
        <f t="shared" si="6"/>
        <v>120</v>
      </c>
      <c r="AZ33" s="19"/>
      <c r="BA33" s="2">
        <f t="shared" si="7"/>
        <v>2732.454647375488</v>
      </c>
      <c r="BB33" s="2">
        <f t="shared" si="8"/>
        <v>1516.2522673348394</v>
      </c>
      <c r="BC33" s="4">
        <f t="shared" si="69"/>
        <v>275.85581739130464</v>
      </c>
      <c r="BD33" s="11">
        <f t="shared" si="64"/>
        <v>28.549489761697686</v>
      </c>
      <c r="BE33" s="3">
        <f t="shared" si="13"/>
        <v>800</v>
      </c>
      <c r="BF33" s="34">
        <f t="shared" si="14"/>
        <v>93.14482119142667</v>
      </c>
      <c r="BG33" s="3">
        <f t="shared" si="72"/>
        <v>0</v>
      </c>
      <c r="BH33" s="34">
        <f t="shared" si="65"/>
        <v>0</v>
      </c>
      <c r="BI33" s="3">
        <f t="shared" si="49"/>
        <v>800</v>
      </c>
      <c r="BJ33" s="3">
        <f t="shared" si="34"/>
        <v>1309.202208968386</v>
      </c>
      <c r="BK33" s="3">
        <f t="shared" si="50"/>
        <v>800</v>
      </c>
      <c r="BL33" s="3">
        <f t="shared" si="35"/>
        <v>139.71723178714004</v>
      </c>
      <c r="BM33" s="3">
        <f t="shared" si="51"/>
        <v>120</v>
      </c>
      <c r="BN33" s="3">
        <f t="shared" si="36"/>
        <v>201.03757240482926</v>
      </c>
      <c r="BO33" s="3">
        <f t="shared" si="37"/>
        <v>800</v>
      </c>
      <c r="BP33" s="3">
        <f t="shared" si="38"/>
        <v>84.93404074947789</v>
      </c>
      <c r="BQ33" s="3">
        <f t="shared" si="52"/>
        <v>800</v>
      </c>
      <c r="BR33" s="3">
        <f t="shared" si="53"/>
        <v>0</v>
      </c>
      <c r="BS33" s="3">
        <f t="shared" si="39"/>
        <v>7.030732790289973</v>
      </c>
      <c r="BT33" s="3">
        <f t="shared" si="9"/>
        <v>340.9197300974184</v>
      </c>
      <c r="BU33" s="3">
        <f t="shared" si="54"/>
        <v>800</v>
      </c>
      <c r="BV33" s="3">
        <f t="shared" si="40"/>
        <v>64.68390360515741</v>
      </c>
      <c r="BW33" s="3">
        <f t="shared" si="55"/>
        <v>800</v>
      </c>
      <c r="BX33" s="3">
        <f t="shared" si="41"/>
        <v>57.004529343787745</v>
      </c>
      <c r="BY33" s="3">
        <f t="shared" si="56"/>
        <v>800</v>
      </c>
      <c r="BZ33" s="3">
        <f t="shared" si="57"/>
        <v>0</v>
      </c>
      <c r="CA33" s="3">
        <f t="shared" si="42"/>
        <v>91.47025969079584</v>
      </c>
      <c r="CB33" s="3">
        <f t="shared" si="58"/>
        <v>800</v>
      </c>
      <c r="CC33" s="3">
        <f t="shared" si="59"/>
        <v>0</v>
      </c>
      <c r="CD33" s="3">
        <f t="shared" si="43"/>
        <v>45.04898454076082</v>
      </c>
      <c r="CE33" s="3">
        <f t="shared" si="70"/>
        <v>275.85581739130464</v>
      </c>
      <c r="CF33" s="3">
        <f t="shared" si="66"/>
        <v>65.89560722426326</v>
      </c>
      <c r="CG33" s="34">
        <f t="shared" si="44"/>
        <v>0</v>
      </c>
      <c r="CH33" s="34">
        <f t="shared" si="45"/>
        <v>0</v>
      </c>
      <c r="CJ33" s="15"/>
      <c r="CK33" s="72" t="s">
        <v>106</v>
      </c>
      <c r="CL33" s="119">
        <v>12800</v>
      </c>
      <c r="CM33" s="70">
        <v>13500</v>
      </c>
      <c r="CN33" s="69">
        <v>15000</v>
      </c>
      <c r="CO33" s="69">
        <v>17400</v>
      </c>
      <c r="CP33" s="120">
        <v>20700</v>
      </c>
      <c r="CQ33" s="69"/>
      <c r="CR33" s="71"/>
      <c r="CS33" s="70"/>
      <c r="CT33" s="69"/>
      <c r="CU33" s="69"/>
      <c r="CV33" s="69"/>
    </row>
    <row r="34" spans="1:100" ht="14.25">
      <c r="A34" s="1">
        <f t="shared" si="0"/>
        <v>2022</v>
      </c>
      <c r="B34" s="47">
        <v>4164.4601136</v>
      </c>
      <c r="C34" s="2">
        <f t="shared" si="71"/>
        <v>120</v>
      </c>
      <c r="F34" s="2">
        <f t="shared" si="10"/>
        <v>120</v>
      </c>
      <c r="G34" s="14">
        <f t="shared" si="1"/>
        <v>1011.0091555555556</v>
      </c>
      <c r="H34" s="14">
        <f t="shared" si="2"/>
        <v>1131.0091555555555</v>
      </c>
      <c r="I34" s="7"/>
      <c r="J34" s="2"/>
      <c r="K34" s="2"/>
      <c r="L34" s="2"/>
      <c r="M34" s="3">
        <f t="shared" si="11"/>
        <v>800</v>
      </c>
      <c r="N34" s="3">
        <f t="shared" si="12"/>
        <v>800</v>
      </c>
      <c r="O34" s="2">
        <f t="shared" si="67"/>
        <v>800</v>
      </c>
      <c r="P34" s="14">
        <f t="shared" si="60"/>
        <v>120</v>
      </c>
      <c r="Q34" s="14">
        <f t="shared" si="61"/>
        <v>0</v>
      </c>
      <c r="R34" s="14">
        <f t="shared" si="62"/>
        <v>0</v>
      </c>
      <c r="S34" s="14">
        <f t="shared" si="63"/>
        <v>155.85581739130464</v>
      </c>
      <c r="T34" s="14">
        <f t="shared" si="68"/>
        <v>275.85581739130464</v>
      </c>
      <c r="Z34" s="1">
        <f t="shared" si="15"/>
        <v>800</v>
      </c>
      <c r="AA34" s="1">
        <f t="shared" si="16"/>
        <v>0</v>
      </c>
      <c r="AB34" s="15">
        <f t="shared" si="17"/>
        <v>800</v>
      </c>
      <c r="AC34" s="2">
        <f t="shared" si="18"/>
        <v>0</v>
      </c>
      <c r="AD34" s="2">
        <f t="shared" si="19"/>
        <v>0</v>
      </c>
      <c r="AE34" s="2">
        <f t="shared" si="20"/>
        <v>0</v>
      </c>
      <c r="AF34" s="2">
        <f t="shared" si="21"/>
        <v>0</v>
      </c>
      <c r="AG34" s="2">
        <f t="shared" si="22"/>
        <v>0</v>
      </c>
      <c r="AH34" s="2">
        <f t="shared" si="23"/>
        <v>0</v>
      </c>
      <c r="AI34" s="2">
        <f t="shared" si="46"/>
        <v>0</v>
      </c>
      <c r="AJ34" s="2">
        <f t="shared" si="24"/>
        <v>800</v>
      </c>
      <c r="AK34" s="2">
        <f t="shared" si="25"/>
        <v>0</v>
      </c>
      <c r="AL34" s="2">
        <f t="shared" si="47"/>
        <v>800</v>
      </c>
      <c r="AM34" s="2">
        <f t="shared" si="26"/>
        <v>120</v>
      </c>
      <c r="AN34" s="2">
        <f t="shared" si="27"/>
        <v>0</v>
      </c>
      <c r="AO34" s="2">
        <f t="shared" si="28"/>
        <v>0</v>
      </c>
      <c r="AP34" s="2">
        <f t="shared" si="29"/>
        <v>0</v>
      </c>
      <c r="AQ34" s="2">
        <f t="shared" si="30"/>
        <v>0</v>
      </c>
      <c r="AR34" s="2">
        <f t="shared" si="31"/>
        <v>0</v>
      </c>
      <c r="AS34" s="2">
        <f t="shared" si="32"/>
        <v>0</v>
      </c>
      <c r="AT34" s="2">
        <f t="shared" si="33"/>
        <v>0</v>
      </c>
      <c r="AU34" s="2">
        <f t="shared" si="48"/>
        <v>120</v>
      </c>
      <c r="AV34" s="2">
        <f t="shared" si="3"/>
        <v>0</v>
      </c>
      <c r="AW34" s="2">
        <f t="shared" si="4"/>
        <v>0</v>
      </c>
      <c r="AX34" s="2">
        <f t="shared" si="5"/>
        <v>1011.0091555555556</v>
      </c>
      <c r="AY34" s="2">
        <f t="shared" si="6"/>
        <v>120</v>
      </c>
      <c r="AZ34" s="19"/>
      <c r="BA34" s="2">
        <f t="shared" si="7"/>
        <v>2678.8771052700863</v>
      </c>
      <c r="BB34" s="2">
        <f t="shared" si="8"/>
        <v>1486.521830720431</v>
      </c>
      <c r="BC34" s="4">
        <f t="shared" si="69"/>
        <v>275.85581739130464</v>
      </c>
      <c r="BD34" s="11">
        <f t="shared" si="64"/>
        <v>27.98969584480166</v>
      </c>
      <c r="BE34" s="3">
        <f t="shared" si="13"/>
        <v>800</v>
      </c>
      <c r="BF34" s="34">
        <f t="shared" si="14"/>
        <v>91.31845214845754</v>
      </c>
      <c r="BG34" s="3">
        <f t="shared" si="72"/>
        <v>0</v>
      </c>
      <c r="BH34" s="34">
        <f t="shared" si="65"/>
        <v>0</v>
      </c>
      <c r="BI34" s="3">
        <f t="shared" si="49"/>
        <v>800</v>
      </c>
      <c r="BJ34" s="3">
        <f t="shared" si="34"/>
        <v>1283.5315774199867</v>
      </c>
      <c r="BK34" s="3">
        <f t="shared" si="50"/>
        <v>800</v>
      </c>
      <c r="BL34" s="3">
        <f t="shared" si="35"/>
        <v>136.9776782226863</v>
      </c>
      <c r="BM34" s="3">
        <f t="shared" si="51"/>
        <v>120</v>
      </c>
      <c r="BN34" s="3">
        <f t="shared" si="36"/>
        <v>197.09565922042088</v>
      </c>
      <c r="BO34" s="3">
        <f t="shared" si="37"/>
        <v>800</v>
      </c>
      <c r="BP34" s="3">
        <f t="shared" si="38"/>
        <v>83.26866740144894</v>
      </c>
      <c r="BQ34" s="3">
        <f t="shared" si="52"/>
        <v>800</v>
      </c>
      <c r="BR34" s="3">
        <f t="shared" si="53"/>
        <v>0</v>
      </c>
      <c r="BS34" s="3">
        <f t="shared" si="39"/>
        <v>6.892875284598015</v>
      </c>
      <c r="BT34" s="3">
        <f t="shared" si="9"/>
        <v>334.23502950727294</v>
      </c>
      <c r="BU34" s="3">
        <f t="shared" si="54"/>
        <v>800</v>
      </c>
      <c r="BV34" s="3">
        <f t="shared" si="40"/>
        <v>63.41559176976218</v>
      </c>
      <c r="BW34" s="3">
        <f t="shared" si="55"/>
        <v>800</v>
      </c>
      <c r="BX34" s="3">
        <f t="shared" si="41"/>
        <v>55.88679347430172</v>
      </c>
      <c r="BY34" s="3">
        <f t="shared" si="56"/>
        <v>800</v>
      </c>
      <c r="BZ34" s="3">
        <f t="shared" si="57"/>
        <v>0</v>
      </c>
      <c r="CA34" s="3">
        <f t="shared" si="42"/>
        <v>89.67672518705477</v>
      </c>
      <c r="CB34" s="3">
        <f t="shared" si="58"/>
        <v>800</v>
      </c>
      <c r="CC34" s="3">
        <f t="shared" si="59"/>
        <v>0</v>
      </c>
      <c r="CD34" s="3">
        <f t="shared" si="43"/>
        <v>44.165671118392986</v>
      </c>
      <c r="CE34" s="3">
        <f t="shared" si="70"/>
        <v>275.85581739130464</v>
      </c>
      <c r="CF34" s="3">
        <f t="shared" si="66"/>
        <v>64.60353649437576</v>
      </c>
      <c r="CG34" s="34">
        <f t="shared" si="44"/>
        <v>0</v>
      </c>
      <c r="CH34" s="34">
        <f t="shared" si="45"/>
        <v>0</v>
      </c>
      <c r="CJ34" s="15"/>
      <c r="CK34" s="72" t="s">
        <v>107</v>
      </c>
      <c r="CL34" s="119">
        <v>12000</v>
      </c>
      <c r="CM34" s="70">
        <v>12600</v>
      </c>
      <c r="CN34" s="69">
        <v>14200</v>
      </c>
      <c r="CO34" s="69">
        <v>16700</v>
      </c>
      <c r="CP34" s="120">
        <v>20200</v>
      </c>
      <c r="CQ34" s="69"/>
      <c r="CR34" s="71"/>
      <c r="CS34" s="70"/>
      <c r="CT34" s="69"/>
      <c r="CU34" s="69"/>
      <c r="CV34" s="69"/>
    </row>
    <row r="35" spans="1:100" ht="15" thickBot="1">
      <c r="A35" s="1">
        <f t="shared" si="0"/>
        <v>2023</v>
      </c>
      <c r="B35" s="47">
        <v>4164.4601136</v>
      </c>
      <c r="C35" s="2">
        <f t="shared" si="71"/>
        <v>120</v>
      </c>
      <c r="F35" s="2">
        <f t="shared" si="10"/>
        <v>120</v>
      </c>
      <c r="G35" s="14">
        <f t="shared" si="1"/>
        <v>1011.0091555555556</v>
      </c>
      <c r="H35" s="14">
        <f t="shared" si="2"/>
        <v>1131.0091555555555</v>
      </c>
      <c r="I35" s="7"/>
      <c r="J35" s="2"/>
      <c r="K35" s="2"/>
      <c r="L35" s="2"/>
      <c r="M35" s="3">
        <f t="shared" si="11"/>
        <v>800</v>
      </c>
      <c r="N35" s="3">
        <f t="shared" si="12"/>
        <v>800</v>
      </c>
      <c r="O35" s="2">
        <f t="shared" si="67"/>
        <v>800</v>
      </c>
      <c r="P35" s="14">
        <f t="shared" si="60"/>
        <v>120</v>
      </c>
      <c r="Q35" s="14">
        <f t="shared" si="61"/>
        <v>0</v>
      </c>
      <c r="R35" s="14">
        <f t="shared" si="62"/>
        <v>0</v>
      </c>
      <c r="S35" s="14">
        <f t="shared" si="63"/>
        <v>183.3125009661835</v>
      </c>
      <c r="T35" s="14">
        <f t="shared" si="68"/>
        <v>303.3125009661835</v>
      </c>
      <c r="Z35" s="1">
        <f t="shared" si="15"/>
        <v>800</v>
      </c>
      <c r="AA35" s="1">
        <f t="shared" si="16"/>
        <v>0</v>
      </c>
      <c r="AB35" s="15">
        <f t="shared" si="17"/>
        <v>800</v>
      </c>
      <c r="AC35" s="2">
        <f t="shared" si="18"/>
        <v>0</v>
      </c>
      <c r="AD35" s="2">
        <f t="shared" si="19"/>
        <v>0</v>
      </c>
      <c r="AE35" s="2">
        <f t="shared" si="20"/>
        <v>0</v>
      </c>
      <c r="AF35" s="2">
        <f t="shared" si="21"/>
        <v>0</v>
      </c>
      <c r="AG35" s="2">
        <f t="shared" si="22"/>
        <v>0</v>
      </c>
      <c r="AH35" s="2">
        <f t="shared" si="23"/>
        <v>0</v>
      </c>
      <c r="AI35" s="2">
        <f t="shared" si="46"/>
        <v>0</v>
      </c>
      <c r="AJ35" s="2">
        <f t="shared" si="24"/>
        <v>800</v>
      </c>
      <c r="AK35" s="2">
        <f t="shared" si="25"/>
        <v>0</v>
      </c>
      <c r="AL35" s="2">
        <f t="shared" si="47"/>
        <v>800</v>
      </c>
      <c r="AM35" s="2">
        <f t="shared" si="26"/>
        <v>120</v>
      </c>
      <c r="AN35" s="2">
        <f t="shared" si="27"/>
        <v>0</v>
      </c>
      <c r="AO35" s="2">
        <f t="shared" si="28"/>
        <v>0</v>
      </c>
      <c r="AP35" s="2">
        <f t="shared" si="29"/>
        <v>0</v>
      </c>
      <c r="AQ35" s="2">
        <f t="shared" si="30"/>
        <v>0</v>
      </c>
      <c r="AR35" s="2">
        <f t="shared" si="31"/>
        <v>0</v>
      </c>
      <c r="AS35" s="2">
        <f t="shared" si="32"/>
        <v>0</v>
      </c>
      <c r="AT35" s="2">
        <f t="shared" si="33"/>
        <v>0</v>
      </c>
      <c r="AU35" s="2">
        <f t="shared" si="48"/>
        <v>120</v>
      </c>
      <c r="AV35" s="2">
        <f t="shared" si="3"/>
        <v>0</v>
      </c>
      <c r="AW35" s="2">
        <f t="shared" si="4"/>
        <v>0</v>
      </c>
      <c r="AX35" s="2">
        <f t="shared" si="5"/>
        <v>1011.0091555555556</v>
      </c>
      <c r="AY35" s="2">
        <f t="shared" si="6"/>
        <v>120</v>
      </c>
      <c r="AZ35" s="19"/>
      <c r="BA35" s="2">
        <f t="shared" si="7"/>
        <v>2626.350103205967</v>
      </c>
      <c r="BB35" s="2">
        <f t="shared" si="8"/>
        <v>1457.3743438435597</v>
      </c>
      <c r="BC35" s="4">
        <f t="shared" si="69"/>
        <v>303.3125009661835</v>
      </c>
      <c r="BD35" s="11">
        <f t="shared" si="64"/>
        <v>30.17214390578367</v>
      </c>
      <c r="BE35" s="3">
        <f t="shared" si="13"/>
        <v>800</v>
      </c>
      <c r="BF35" s="34">
        <f t="shared" si="14"/>
        <v>89.52789426319367</v>
      </c>
      <c r="BG35" s="3">
        <f t="shared" si="72"/>
        <v>0</v>
      </c>
      <c r="BH35" s="34">
        <f t="shared" si="65"/>
        <v>0</v>
      </c>
      <c r="BI35" s="3">
        <f t="shared" si="49"/>
        <v>800</v>
      </c>
      <c r="BJ35" s="3">
        <f t="shared" si="34"/>
        <v>1258.3642915882222</v>
      </c>
      <c r="BK35" s="3">
        <f t="shared" si="50"/>
        <v>800</v>
      </c>
      <c r="BL35" s="3">
        <f t="shared" si="35"/>
        <v>134.2918413947905</v>
      </c>
      <c r="BM35" s="3">
        <f t="shared" si="51"/>
        <v>120</v>
      </c>
      <c r="BN35" s="3">
        <f t="shared" si="36"/>
        <v>193.231038451393</v>
      </c>
      <c r="BO35" s="3">
        <f t="shared" si="37"/>
        <v>800</v>
      </c>
      <c r="BP35" s="3">
        <f t="shared" si="38"/>
        <v>81.63594843279306</v>
      </c>
      <c r="BQ35" s="3">
        <f t="shared" si="52"/>
        <v>800</v>
      </c>
      <c r="BR35" s="3">
        <f t="shared" si="53"/>
        <v>0</v>
      </c>
      <c r="BS35" s="3">
        <f t="shared" si="39"/>
        <v>6.757720867252954</v>
      </c>
      <c r="BT35" s="3">
        <f t="shared" si="9"/>
        <v>327.6814014777186</v>
      </c>
      <c r="BU35" s="3">
        <f t="shared" si="54"/>
        <v>800</v>
      </c>
      <c r="BV35" s="3">
        <f t="shared" si="40"/>
        <v>62.17214879388449</v>
      </c>
      <c r="BW35" s="3">
        <f t="shared" si="55"/>
        <v>800</v>
      </c>
      <c r="BX35" s="3">
        <f t="shared" si="41"/>
        <v>54.79097399441344</v>
      </c>
      <c r="BY35" s="3">
        <f t="shared" si="56"/>
        <v>800</v>
      </c>
      <c r="BZ35" s="3">
        <f t="shared" si="57"/>
        <v>0</v>
      </c>
      <c r="CA35" s="3">
        <f t="shared" si="42"/>
        <v>87.91835802652427</v>
      </c>
      <c r="CB35" s="3">
        <f t="shared" si="58"/>
        <v>800</v>
      </c>
      <c r="CC35" s="3">
        <f t="shared" si="59"/>
        <v>0</v>
      </c>
      <c r="CD35" s="3">
        <f t="shared" si="43"/>
        <v>43.29967756705194</v>
      </c>
      <c r="CE35" s="3">
        <f t="shared" si="70"/>
        <v>303.3125009661835</v>
      </c>
      <c r="CF35" s="3">
        <f t="shared" si="66"/>
        <v>69.6408853722099</v>
      </c>
      <c r="CG35" s="34">
        <f t="shared" si="44"/>
        <v>0</v>
      </c>
      <c r="CH35" s="34">
        <f t="shared" si="45"/>
        <v>0</v>
      </c>
      <c r="CK35" s="72" t="s">
        <v>108</v>
      </c>
      <c r="CL35" s="121">
        <v>14200</v>
      </c>
      <c r="CM35" s="122">
        <v>14800</v>
      </c>
      <c r="CN35" s="123">
        <v>16400</v>
      </c>
      <c r="CO35" s="123">
        <v>19000</v>
      </c>
      <c r="CP35" s="124">
        <v>22400</v>
      </c>
      <c r="CQ35" s="69"/>
      <c r="CR35" s="71"/>
      <c r="CS35" s="70"/>
      <c r="CT35" s="69"/>
      <c r="CU35" s="69"/>
      <c r="CV35" s="69"/>
    </row>
    <row r="36" spans="1:86" ht="14.25">
      <c r="A36" s="1">
        <f t="shared" si="0"/>
        <v>2024</v>
      </c>
      <c r="B36" s="47">
        <v>4279.0580316</v>
      </c>
      <c r="C36" s="2">
        <f t="shared" si="71"/>
        <v>120</v>
      </c>
      <c r="F36" s="2">
        <f t="shared" si="10"/>
        <v>120</v>
      </c>
      <c r="G36" s="14">
        <f t="shared" si="1"/>
        <v>1041.7654405797102</v>
      </c>
      <c r="H36" s="14">
        <f t="shared" si="2"/>
        <v>1161.7654405797102</v>
      </c>
      <c r="I36" s="7"/>
      <c r="J36" s="2"/>
      <c r="K36" s="2"/>
      <c r="L36" s="2"/>
      <c r="M36" s="3">
        <f t="shared" si="11"/>
        <v>800</v>
      </c>
      <c r="N36" s="3">
        <f t="shared" si="12"/>
        <v>800</v>
      </c>
      <c r="O36" s="2">
        <f t="shared" si="67"/>
        <v>800</v>
      </c>
      <c r="P36" s="14">
        <f t="shared" si="60"/>
        <v>120</v>
      </c>
      <c r="Q36" s="14">
        <f t="shared" si="61"/>
        <v>0</v>
      </c>
      <c r="R36" s="14">
        <f t="shared" si="62"/>
        <v>0</v>
      </c>
      <c r="S36" s="14">
        <f t="shared" si="63"/>
        <v>183.3125009661835</v>
      </c>
      <c r="T36" s="14">
        <f t="shared" si="68"/>
        <v>303.3125009661835</v>
      </c>
      <c r="Z36" s="1">
        <f t="shared" si="15"/>
        <v>800</v>
      </c>
      <c r="AA36" s="1">
        <f t="shared" si="16"/>
        <v>0</v>
      </c>
      <c r="AB36" s="15">
        <f t="shared" si="17"/>
        <v>800</v>
      </c>
      <c r="AC36" s="2">
        <f t="shared" si="18"/>
        <v>0</v>
      </c>
      <c r="AD36" s="2">
        <f t="shared" si="19"/>
        <v>0</v>
      </c>
      <c r="AE36" s="2">
        <f t="shared" si="20"/>
        <v>0</v>
      </c>
      <c r="AF36" s="2">
        <f t="shared" si="21"/>
        <v>0</v>
      </c>
      <c r="AG36" s="2">
        <f t="shared" si="22"/>
        <v>0</v>
      </c>
      <c r="AH36" s="2">
        <f t="shared" si="23"/>
        <v>0</v>
      </c>
      <c r="AI36" s="2">
        <f t="shared" si="46"/>
        <v>0</v>
      </c>
      <c r="AJ36" s="2">
        <f t="shared" si="24"/>
        <v>800</v>
      </c>
      <c r="AK36" s="2">
        <f t="shared" si="25"/>
        <v>0</v>
      </c>
      <c r="AL36" s="2">
        <f t="shared" si="47"/>
        <v>800</v>
      </c>
      <c r="AM36" s="2">
        <f t="shared" si="26"/>
        <v>120</v>
      </c>
      <c r="AN36" s="2">
        <f t="shared" si="27"/>
        <v>0</v>
      </c>
      <c r="AO36" s="2">
        <f t="shared" si="28"/>
        <v>0</v>
      </c>
      <c r="AP36" s="2">
        <f t="shared" si="29"/>
        <v>0</v>
      </c>
      <c r="AQ36" s="2">
        <f t="shared" si="30"/>
        <v>0</v>
      </c>
      <c r="AR36" s="2">
        <f t="shared" si="31"/>
        <v>0</v>
      </c>
      <c r="AS36" s="2">
        <f t="shared" si="32"/>
        <v>0</v>
      </c>
      <c r="AT36" s="2">
        <f t="shared" si="33"/>
        <v>0</v>
      </c>
      <c r="AU36" s="2">
        <f t="shared" si="48"/>
        <v>120</v>
      </c>
      <c r="AV36" s="2">
        <f t="shared" si="3"/>
        <v>0</v>
      </c>
      <c r="AW36" s="2">
        <f t="shared" si="4"/>
        <v>0</v>
      </c>
      <c r="AX36" s="2">
        <f t="shared" si="5"/>
        <v>1041.7654405797102</v>
      </c>
      <c r="AY36" s="2">
        <f t="shared" si="6"/>
        <v>120</v>
      </c>
      <c r="AZ36" s="19"/>
      <c r="BA36" s="2">
        <f t="shared" si="7"/>
        <v>2645.708036706475</v>
      </c>
      <c r="BB36" s="2">
        <f t="shared" si="8"/>
        <v>1472.2643823989445</v>
      </c>
      <c r="BC36" s="4">
        <f t="shared" si="69"/>
        <v>303.3125009661835</v>
      </c>
      <c r="BD36" s="11">
        <f t="shared" si="64"/>
        <v>29.58053324096438</v>
      </c>
      <c r="BE36" s="3">
        <f t="shared" si="13"/>
        <v>800</v>
      </c>
      <c r="BF36" s="34">
        <f t="shared" si="14"/>
        <v>87.77244535607223</v>
      </c>
      <c r="BG36" s="3">
        <f t="shared" si="72"/>
        <v>0</v>
      </c>
      <c r="BH36" s="34">
        <f t="shared" si="65"/>
        <v>0</v>
      </c>
      <c r="BI36" s="3">
        <f t="shared" si="49"/>
        <v>800</v>
      </c>
      <c r="BJ36" s="3">
        <f t="shared" si="34"/>
        <v>1233.6904819492374</v>
      </c>
      <c r="BK36" s="3">
        <f t="shared" si="50"/>
        <v>800</v>
      </c>
      <c r="BL36" s="3">
        <f t="shared" si="35"/>
        <v>131.65866803410833</v>
      </c>
      <c r="BM36" s="3">
        <f t="shared" si="51"/>
        <v>120</v>
      </c>
      <c r="BN36" s="3">
        <f t="shared" si="36"/>
        <v>189.44219456018922</v>
      </c>
      <c r="BO36" s="3">
        <f t="shared" si="37"/>
        <v>800</v>
      </c>
      <c r="BP36" s="3">
        <f t="shared" si="38"/>
        <v>80.03524356156181</v>
      </c>
      <c r="BQ36" s="3">
        <f t="shared" si="52"/>
        <v>800</v>
      </c>
      <c r="BR36" s="3">
        <f t="shared" si="53"/>
        <v>0</v>
      </c>
      <c r="BS36" s="3">
        <f t="shared" si="39"/>
        <v>6.625216536522504</v>
      </c>
      <c r="BT36" s="3">
        <f t="shared" si="9"/>
        <v>330.096629657471</v>
      </c>
      <c r="BU36" s="3">
        <f t="shared" si="54"/>
        <v>800</v>
      </c>
      <c r="BV36" s="3">
        <f t="shared" si="40"/>
        <v>60.95308705282793</v>
      </c>
      <c r="BW36" s="3">
        <f t="shared" si="55"/>
        <v>800</v>
      </c>
      <c r="BX36" s="3">
        <f t="shared" si="41"/>
        <v>53.71664117099357</v>
      </c>
      <c r="BY36" s="3">
        <f t="shared" si="56"/>
        <v>800</v>
      </c>
      <c r="BZ36" s="3">
        <f t="shared" si="57"/>
        <v>0</v>
      </c>
      <c r="CA36" s="3">
        <f t="shared" si="42"/>
        <v>86.19446865345516</v>
      </c>
      <c r="CB36" s="3">
        <f t="shared" si="58"/>
        <v>800</v>
      </c>
      <c r="CC36" s="3">
        <f t="shared" si="59"/>
        <v>0</v>
      </c>
      <c r="CD36" s="3">
        <f t="shared" si="43"/>
        <v>42.45066428142346</v>
      </c>
      <c r="CE36" s="3">
        <f t="shared" si="70"/>
        <v>303.3125009661835</v>
      </c>
      <c r="CF36" s="3">
        <f t="shared" si="66"/>
        <v>68.27537781589206</v>
      </c>
      <c r="CG36" s="34">
        <f t="shared" si="44"/>
        <v>0</v>
      </c>
      <c r="CH36" s="34">
        <f t="shared" si="45"/>
        <v>0</v>
      </c>
    </row>
    <row r="37" spans="1:93" ht="14.25">
      <c r="A37" s="1">
        <f t="shared" si="0"/>
        <v>2025</v>
      </c>
      <c r="B37" s="47">
        <v>4279.0580316</v>
      </c>
      <c r="C37" s="2">
        <f t="shared" si="71"/>
        <v>120</v>
      </c>
      <c r="F37" s="2">
        <f t="shared" si="10"/>
        <v>120</v>
      </c>
      <c r="G37" s="14">
        <f t="shared" si="1"/>
        <v>1041.7654405797102</v>
      </c>
      <c r="H37" s="14">
        <f t="shared" si="2"/>
        <v>1161.7654405797102</v>
      </c>
      <c r="I37" s="7"/>
      <c r="J37" s="2"/>
      <c r="K37" s="2"/>
      <c r="L37" s="2"/>
      <c r="M37" s="3">
        <f t="shared" si="11"/>
        <v>800</v>
      </c>
      <c r="N37" s="3">
        <f t="shared" si="12"/>
        <v>800</v>
      </c>
      <c r="O37" s="2">
        <f t="shared" si="67"/>
        <v>800</v>
      </c>
      <c r="P37" s="14">
        <f t="shared" si="60"/>
        <v>120</v>
      </c>
      <c r="Q37" s="14">
        <f t="shared" si="61"/>
        <v>0</v>
      </c>
      <c r="R37" s="14">
        <f t="shared" si="62"/>
        <v>0</v>
      </c>
      <c r="S37" s="14">
        <f t="shared" si="63"/>
        <v>183.3125009661835</v>
      </c>
      <c r="T37" s="14">
        <f t="shared" si="68"/>
        <v>303.3125009661835</v>
      </c>
      <c r="Z37" s="1">
        <f t="shared" si="15"/>
        <v>800</v>
      </c>
      <c r="AA37" s="1">
        <f t="shared" si="16"/>
        <v>0</v>
      </c>
      <c r="AB37" s="15">
        <f t="shared" si="17"/>
        <v>800</v>
      </c>
      <c r="AC37" s="2">
        <f t="shared" si="18"/>
        <v>0</v>
      </c>
      <c r="AD37" s="2">
        <f t="shared" si="19"/>
        <v>0</v>
      </c>
      <c r="AE37" s="2">
        <f t="shared" si="20"/>
        <v>0</v>
      </c>
      <c r="AF37" s="2">
        <f t="shared" si="21"/>
        <v>0</v>
      </c>
      <c r="AG37" s="2">
        <f t="shared" si="22"/>
        <v>0</v>
      </c>
      <c r="AH37" s="2">
        <f t="shared" si="23"/>
        <v>0</v>
      </c>
      <c r="AI37" s="2">
        <f t="shared" si="46"/>
        <v>0</v>
      </c>
      <c r="AJ37" s="2">
        <f t="shared" si="24"/>
        <v>800</v>
      </c>
      <c r="AK37" s="2">
        <f t="shared" si="25"/>
        <v>0</v>
      </c>
      <c r="AL37" s="2">
        <f t="shared" si="47"/>
        <v>800</v>
      </c>
      <c r="AM37" s="2">
        <f t="shared" si="26"/>
        <v>120</v>
      </c>
      <c r="AN37" s="2">
        <f t="shared" si="27"/>
        <v>0</v>
      </c>
      <c r="AO37" s="2">
        <f t="shared" si="28"/>
        <v>0</v>
      </c>
      <c r="AP37" s="2">
        <f t="shared" si="29"/>
        <v>0</v>
      </c>
      <c r="AQ37" s="2">
        <f t="shared" si="30"/>
        <v>0</v>
      </c>
      <c r="AR37" s="2">
        <f t="shared" si="31"/>
        <v>0</v>
      </c>
      <c r="AS37" s="2">
        <f t="shared" si="32"/>
        <v>0</v>
      </c>
      <c r="AT37" s="2">
        <f t="shared" si="33"/>
        <v>0</v>
      </c>
      <c r="AU37" s="2">
        <f t="shared" si="48"/>
        <v>120</v>
      </c>
      <c r="AV37" s="2">
        <f t="shared" si="3"/>
        <v>0</v>
      </c>
      <c r="AW37" s="2">
        <f t="shared" si="4"/>
        <v>0</v>
      </c>
      <c r="AX37" s="2">
        <f t="shared" si="5"/>
        <v>1041.7654405797102</v>
      </c>
      <c r="AY37" s="2">
        <f t="shared" si="6"/>
        <v>120</v>
      </c>
      <c r="AZ37" s="19"/>
      <c r="BA37" s="2">
        <f t="shared" si="7"/>
        <v>2593.83140853576</v>
      </c>
      <c r="BB37" s="2">
        <f t="shared" si="8"/>
        <v>1443.3964533322987</v>
      </c>
      <c r="BC37" s="4">
        <f t="shared" si="69"/>
        <v>303.3125009661835</v>
      </c>
      <c r="BD37" s="11">
        <f t="shared" si="64"/>
        <v>29.000522785259196</v>
      </c>
      <c r="BE37" s="3">
        <f t="shared" si="13"/>
        <v>800</v>
      </c>
      <c r="BF37" s="34">
        <f t="shared" si="14"/>
        <v>86.05141701575707</v>
      </c>
      <c r="BG37" s="3">
        <f t="shared" si="72"/>
        <v>0</v>
      </c>
      <c r="BH37" s="34">
        <f t="shared" si="65"/>
        <v>0</v>
      </c>
      <c r="BI37" s="3">
        <f t="shared" si="49"/>
        <v>800</v>
      </c>
      <c r="BJ37" s="3">
        <f t="shared" si="34"/>
        <v>1209.500472499252</v>
      </c>
      <c r="BK37" s="3">
        <f t="shared" si="50"/>
        <v>800</v>
      </c>
      <c r="BL37" s="3">
        <f t="shared" si="35"/>
        <v>129.0771255236356</v>
      </c>
      <c r="BM37" s="3">
        <f t="shared" si="51"/>
        <v>120</v>
      </c>
      <c r="BN37" s="3">
        <f t="shared" si="36"/>
        <v>185.72764172567565</v>
      </c>
      <c r="BO37" s="3">
        <f t="shared" si="37"/>
        <v>800</v>
      </c>
      <c r="BP37" s="3">
        <f t="shared" si="38"/>
        <v>78.46592506035473</v>
      </c>
      <c r="BQ37" s="3">
        <f t="shared" si="52"/>
        <v>800</v>
      </c>
      <c r="BR37" s="3">
        <f t="shared" si="53"/>
        <v>0</v>
      </c>
      <c r="BS37" s="3">
        <f t="shared" si="39"/>
        <v>6.495310329924024</v>
      </c>
      <c r="BT37" s="3">
        <f t="shared" si="9"/>
        <v>323.6241467230108</v>
      </c>
      <c r="BU37" s="3">
        <f t="shared" si="54"/>
        <v>800</v>
      </c>
      <c r="BV37" s="3">
        <f t="shared" si="40"/>
        <v>59.75792848316463</v>
      </c>
      <c r="BW37" s="3">
        <f t="shared" si="55"/>
        <v>800</v>
      </c>
      <c r="BX37" s="3">
        <f t="shared" si="41"/>
        <v>52.66337369705253</v>
      </c>
      <c r="BY37" s="3">
        <f t="shared" si="56"/>
        <v>800</v>
      </c>
      <c r="BZ37" s="3">
        <f t="shared" si="57"/>
        <v>0</v>
      </c>
      <c r="CA37" s="3">
        <f t="shared" si="42"/>
        <v>84.50438103279919</v>
      </c>
      <c r="CB37" s="3">
        <f t="shared" si="58"/>
        <v>800</v>
      </c>
      <c r="CC37" s="3">
        <f t="shared" si="59"/>
        <v>0</v>
      </c>
      <c r="CD37" s="3">
        <f t="shared" si="43"/>
        <v>41.618298315121045</v>
      </c>
      <c r="CE37" s="3">
        <f t="shared" si="70"/>
        <v>303.3125009661835</v>
      </c>
      <c r="CF37" s="3">
        <f t="shared" si="66"/>
        <v>66.93664491754122</v>
      </c>
      <c r="CG37" s="34">
        <f t="shared" si="44"/>
        <v>0</v>
      </c>
      <c r="CH37" s="34">
        <f t="shared" si="45"/>
        <v>0</v>
      </c>
      <c r="CK37" s="2" t="s">
        <v>17</v>
      </c>
      <c r="CM37" s="4"/>
      <c r="CN37" s="63">
        <f>IF($H$5=0,CL14*10^4,IF($H$5=0.01,CM14*10^4,IF($H$5=0.02,CN14*10^4,IF($H$5=0.03,CO14*10^4,IF($H$5=0.04,CP14*10^4,0)))))</f>
        <v>210000000</v>
      </c>
      <c r="CO37" s="34"/>
    </row>
    <row r="38" spans="1:95" ht="14.25">
      <c r="A38" s="1">
        <f t="shared" si="0"/>
        <v>2026</v>
      </c>
      <c r="B38" s="47">
        <v>4279.0580316</v>
      </c>
      <c r="C38" s="2">
        <f t="shared" si="71"/>
        <v>120</v>
      </c>
      <c r="F38" s="2">
        <f t="shared" si="10"/>
        <v>120</v>
      </c>
      <c r="G38" s="14">
        <f t="shared" si="1"/>
        <v>1041.7654405797102</v>
      </c>
      <c r="H38" s="14">
        <f t="shared" si="2"/>
        <v>1161.7654405797102</v>
      </c>
      <c r="I38" s="7"/>
      <c r="J38" s="2"/>
      <c r="K38" s="2"/>
      <c r="L38" s="2"/>
      <c r="M38" s="3">
        <f t="shared" si="11"/>
        <v>800</v>
      </c>
      <c r="N38" s="3">
        <f t="shared" si="12"/>
        <v>800</v>
      </c>
      <c r="O38" s="2">
        <f t="shared" si="67"/>
        <v>800</v>
      </c>
      <c r="P38" s="14">
        <f t="shared" si="60"/>
        <v>120</v>
      </c>
      <c r="Q38" s="14">
        <f t="shared" si="61"/>
        <v>0</v>
      </c>
      <c r="R38" s="14">
        <f t="shared" si="62"/>
        <v>0</v>
      </c>
      <c r="S38" s="14">
        <f t="shared" si="63"/>
        <v>211.0091555555556</v>
      </c>
      <c r="T38" s="14">
        <f t="shared" si="68"/>
        <v>331.0091555555556</v>
      </c>
      <c r="Z38" s="1">
        <f t="shared" si="15"/>
        <v>800</v>
      </c>
      <c r="AA38" s="1">
        <f t="shared" si="16"/>
        <v>0</v>
      </c>
      <c r="AB38" s="15">
        <f t="shared" si="17"/>
        <v>800</v>
      </c>
      <c r="AC38" s="2">
        <f t="shared" si="18"/>
        <v>0</v>
      </c>
      <c r="AD38" s="2">
        <f t="shared" si="19"/>
        <v>0</v>
      </c>
      <c r="AE38" s="2">
        <f t="shared" si="20"/>
        <v>0</v>
      </c>
      <c r="AF38" s="2">
        <f t="shared" si="21"/>
        <v>0</v>
      </c>
      <c r="AG38" s="2">
        <f t="shared" si="22"/>
        <v>0</v>
      </c>
      <c r="AH38" s="2">
        <f t="shared" si="23"/>
        <v>0</v>
      </c>
      <c r="AI38" s="2">
        <f t="shared" si="46"/>
        <v>0</v>
      </c>
      <c r="AJ38" s="2">
        <f t="shared" si="24"/>
        <v>800</v>
      </c>
      <c r="AK38" s="2">
        <f t="shared" si="25"/>
        <v>0</v>
      </c>
      <c r="AL38" s="2">
        <f t="shared" si="47"/>
        <v>800</v>
      </c>
      <c r="AM38" s="2">
        <f t="shared" si="26"/>
        <v>120</v>
      </c>
      <c r="AN38" s="2">
        <f t="shared" si="27"/>
        <v>0</v>
      </c>
      <c r="AO38" s="2">
        <f t="shared" si="28"/>
        <v>0</v>
      </c>
      <c r="AP38" s="2">
        <f t="shared" si="29"/>
        <v>0</v>
      </c>
      <c r="AQ38" s="2">
        <f t="shared" si="30"/>
        <v>0</v>
      </c>
      <c r="AR38" s="2">
        <f t="shared" si="31"/>
        <v>0</v>
      </c>
      <c r="AS38" s="2">
        <f t="shared" si="32"/>
        <v>0</v>
      </c>
      <c r="AT38" s="2">
        <f t="shared" si="33"/>
        <v>0</v>
      </c>
      <c r="AU38" s="2">
        <f t="shared" si="48"/>
        <v>120</v>
      </c>
      <c r="AV38" s="2">
        <f t="shared" si="3"/>
        <v>0</v>
      </c>
      <c r="AW38" s="2">
        <f t="shared" si="4"/>
        <v>0</v>
      </c>
      <c r="AX38" s="2">
        <f t="shared" si="5"/>
        <v>1041.7654405797102</v>
      </c>
      <c r="AY38" s="2">
        <f t="shared" si="6"/>
        <v>120</v>
      </c>
      <c r="AZ38" s="19"/>
      <c r="BA38" s="2">
        <f t="shared" si="7"/>
        <v>2542.9719691527057</v>
      </c>
      <c r="BB38" s="2">
        <f t="shared" si="8"/>
        <v>1415.0945620904888</v>
      </c>
      <c r="BC38" s="4">
        <f t="shared" si="69"/>
        <v>331.0091555555556</v>
      </c>
      <c r="BD38" s="11">
        <f t="shared" si="64"/>
        <v>31.028112070528017</v>
      </c>
      <c r="BE38" s="3">
        <f t="shared" si="13"/>
        <v>800</v>
      </c>
      <c r="BF38" s="34">
        <f t="shared" si="14"/>
        <v>84.36413432917361</v>
      </c>
      <c r="BG38" s="3">
        <f t="shared" si="72"/>
        <v>0</v>
      </c>
      <c r="BH38" s="34">
        <f t="shared" si="65"/>
        <v>0</v>
      </c>
      <c r="BI38" s="3">
        <f t="shared" si="49"/>
        <v>800</v>
      </c>
      <c r="BJ38" s="3">
        <f t="shared" si="34"/>
        <v>1185.7847769600514</v>
      </c>
      <c r="BK38" s="3">
        <f t="shared" si="50"/>
        <v>800</v>
      </c>
      <c r="BL38" s="3">
        <f t="shared" si="35"/>
        <v>126.54620149376042</v>
      </c>
      <c r="BM38" s="3">
        <f t="shared" si="51"/>
        <v>120</v>
      </c>
      <c r="BN38" s="3">
        <f t="shared" si="36"/>
        <v>182.0859232604664</v>
      </c>
      <c r="BO38" s="3">
        <f t="shared" si="37"/>
        <v>800</v>
      </c>
      <c r="BP38" s="3">
        <f t="shared" si="38"/>
        <v>76.9273775101517</v>
      </c>
      <c r="BQ38" s="3">
        <f t="shared" si="52"/>
        <v>800</v>
      </c>
      <c r="BR38" s="3">
        <f t="shared" si="53"/>
        <v>0</v>
      </c>
      <c r="BS38" s="3">
        <f t="shared" si="39"/>
        <v>6.367951303847083</v>
      </c>
      <c r="BT38" s="3">
        <f t="shared" si="9"/>
        <v>317.278575218638</v>
      </c>
      <c r="BU38" s="3">
        <f t="shared" si="54"/>
        <v>800</v>
      </c>
      <c r="BV38" s="3">
        <f t="shared" si="40"/>
        <v>58.58620439525946</v>
      </c>
      <c r="BW38" s="3">
        <f t="shared" si="55"/>
        <v>800</v>
      </c>
      <c r="BX38" s="3">
        <f t="shared" si="41"/>
        <v>51.63075852652209</v>
      </c>
      <c r="BY38" s="3">
        <f t="shared" si="56"/>
        <v>800</v>
      </c>
      <c r="BZ38" s="3">
        <f t="shared" si="57"/>
        <v>0</v>
      </c>
      <c r="CA38" s="3">
        <f t="shared" si="42"/>
        <v>82.84743238509725</v>
      </c>
      <c r="CB38" s="3">
        <f t="shared" si="58"/>
        <v>800</v>
      </c>
      <c r="CC38" s="3">
        <f t="shared" si="59"/>
        <v>0</v>
      </c>
      <c r="CD38" s="3">
        <f t="shared" si="43"/>
        <v>40.80225325011867</v>
      </c>
      <c r="CE38" s="3">
        <f t="shared" si="70"/>
        <v>331.0091555555556</v>
      </c>
      <c r="CF38" s="3">
        <f t="shared" si="66"/>
        <v>71.61656138082775</v>
      </c>
      <c r="CG38" s="34">
        <f t="shared" si="44"/>
        <v>0</v>
      </c>
      <c r="CH38" s="34">
        <f t="shared" si="45"/>
        <v>0</v>
      </c>
      <c r="CK38" s="3" t="s">
        <v>25</v>
      </c>
      <c r="CL38" s="3"/>
      <c r="CN38" s="63">
        <f>IF($H$5=0,CL25*10^4,IF($H$5=0.01,CM25*10^4,IF($H$5=0.02,CN25*10^4,IF($H$5=0.03,CO25*10^4,IF($H$5=0.04,CP25*10^4,0)))))</f>
        <v>259000000</v>
      </c>
      <c r="CO38" s="15"/>
      <c r="CP38" s="34"/>
      <c r="CQ38" s="34"/>
    </row>
    <row r="39" spans="1:95" ht="14.25">
      <c r="A39" s="1">
        <f t="shared" si="0"/>
        <v>2027</v>
      </c>
      <c r="B39" s="47">
        <v>4340.5296066</v>
      </c>
      <c r="C39" s="2">
        <f t="shared" si="71"/>
        <v>120</v>
      </c>
      <c r="F39" s="2">
        <f t="shared" si="10"/>
        <v>120</v>
      </c>
      <c r="G39" s="14">
        <f t="shared" si="1"/>
        <v>1058.263447826087</v>
      </c>
      <c r="H39" s="14">
        <f t="shared" si="2"/>
        <v>1178.263447826087</v>
      </c>
      <c r="I39" s="7"/>
      <c r="J39" s="2"/>
      <c r="K39" s="2"/>
      <c r="L39" s="2"/>
      <c r="M39" s="3">
        <f t="shared" si="11"/>
        <v>800</v>
      </c>
      <c r="N39" s="3">
        <f t="shared" si="12"/>
        <v>800</v>
      </c>
      <c r="O39" s="2">
        <f t="shared" si="67"/>
        <v>800</v>
      </c>
      <c r="P39" s="14">
        <f t="shared" si="60"/>
        <v>120</v>
      </c>
      <c r="Q39" s="14">
        <f t="shared" si="61"/>
        <v>0</v>
      </c>
      <c r="R39" s="14">
        <f t="shared" si="62"/>
        <v>0</v>
      </c>
      <c r="S39" s="14">
        <f t="shared" si="63"/>
        <v>211.0091555555556</v>
      </c>
      <c r="T39" s="14">
        <f t="shared" si="68"/>
        <v>331.0091555555556</v>
      </c>
      <c r="Z39" s="1">
        <f t="shared" si="15"/>
        <v>800</v>
      </c>
      <c r="AA39" s="1">
        <f t="shared" si="16"/>
        <v>0</v>
      </c>
      <c r="AB39" s="15">
        <f t="shared" si="17"/>
        <v>800</v>
      </c>
      <c r="AC39" s="2">
        <f t="shared" si="18"/>
        <v>0</v>
      </c>
      <c r="AD39" s="2">
        <f t="shared" si="19"/>
        <v>0</v>
      </c>
      <c r="AE39" s="2">
        <f t="shared" si="20"/>
        <v>0</v>
      </c>
      <c r="AF39" s="2">
        <f t="shared" si="21"/>
        <v>0</v>
      </c>
      <c r="AG39" s="2">
        <f t="shared" si="22"/>
        <v>0</v>
      </c>
      <c r="AH39" s="2">
        <f t="shared" si="23"/>
        <v>0</v>
      </c>
      <c r="AI39" s="2">
        <f t="shared" si="46"/>
        <v>0</v>
      </c>
      <c r="AJ39" s="2">
        <f t="shared" si="24"/>
        <v>800</v>
      </c>
      <c r="AK39" s="2">
        <f t="shared" si="25"/>
        <v>0</v>
      </c>
      <c r="AL39" s="2">
        <f t="shared" si="47"/>
        <v>800</v>
      </c>
      <c r="AM39" s="2">
        <f t="shared" si="26"/>
        <v>120</v>
      </c>
      <c r="AN39" s="2">
        <f t="shared" si="27"/>
        <v>0</v>
      </c>
      <c r="AO39" s="2">
        <f t="shared" si="28"/>
        <v>0</v>
      </c>
      <c r="AP39" s="2">
        <f t="shared" si="29"/>
        <v>0</v>
      </c>
      <c r="AQ39" s="2">
        <f t="shared" si="30"/>
        <v>0</v>
      </c>
      <c r="AR39" s="2">
        <f t="shared" si="31"/>
        <v>0</v>
      </c>
      <c r="AS39" s="2">
        <f t="shared" si="32"/>
        <v>0</v>
      </c>
      <c r="AT39" s="2">
        <f t="shared" si="33"/>
        <v>0</v>
      </c>
      <c r="AU39" s="2">
        <f t="shared" si="48"/>
        <v>120</v>
      </c>
      <c r="AV39" s="2">
        <f t="shared" si="3"/>
        <v>0</v>
      </c>
      <c r="AW39" s="2">
        <f t="shared" si="4"/>
        <v>0</v>
      </c>
      <c r="AX39" s="2">
        <f t="shared" si="5"/>
        <v>1058.263447826087</v>
      </c>
      <c r="AY39" s="2">
        <f t="shared" si="6"/>
        <v>120</v>
      </c>
      <c r="AZ39" s="19"/>
      <c r="BA39" s="2">
        <f t="shared" si="7"/>
        <v>2528.9249889214016</v>
      </c>
      <c r="BB39" s="2">
        <f t="shared" si="8"/>
        <v>1409.318458636203</v>
      </c>
      <c r="BC39" s="4">
        <f t="shared" si="69"/>
        <v>331.0091555555556</v>
      </c>
      <c r="BD39" s="11">
        <f t="shared" si="64"/>
        <v>30.41971771620393</v>
      </c>
      <c r="BE39" s="3">
        <f t="shared" si="13"/>
        <v>800</v>
      </c>
      <c r="BF39" s="34">
        <f t="shared" si="14"/>
        <v>82.70993561683686</v>
      </c>
      <c r="BG39" s="3">
        <f t="shared" si="72"/>
        <v>0</v>
      </c>
      <c r="BH39" s="34">
        <f t="shared" si="65"/>
        <v>0</v>
      </c>
      <c r="BI39" s="3">
        <f t="shared" si="49"/>
        <v>800</v>
      </c>
      <c r="BJ39" s="3">
        <f t="shared" si="34"/>
        <v>1162.5340950588736</v>
      </c>
      <c r="BK39" s="3">
        <f t="shared" si="50"/>
        <v>800</v>
      </c>
      <c r="BL39" s="3">
        <f t="shared" si="35"/>
        <v>124.0649034252553</v>
      </c>
      <c r="BM39" s="3">
        <f t="shared" si="51"/>
        <v>120</v>
      </c>
      <c r="BN39" s="3">
        <f t="shared" si="36"/>
        <v>178.51561103967288</v>
      </c>
      <c r="BO39" s="3">
        <f t="shared" si="37"/>
        <v>800</v>
      </c>
      <c r="BP39" s="3">
        <f t="shared" si="38"/>
        <v>75.41899755897225</v>
      </c>
      <c r="BQ39" s="3">
        <f t="shared" si="52"/>
        <v>800</v>
      </c>
      <c r="BR39" s="3">
        <f t="shared" si="53"/>
        <v>0</v>
      </c>
      <c r="BS39" s="3">
        <f t="shared" si="39"/>
        <v>6.243089513575571</v>
      </c>
      <c r="BT39" s="3">
        <f t="shared" si="9"/>
        <v>315.52597789236955</v>
      </c>
      <c r="BU39" s="3">
        <f t="shared" si="54"/>
        <v>800</v>
      </c>
      <c r="BV39" s="3">
        <f t="shared" si="40"/>
        <v>57.437455289470044</v>
      </c>
      <c r="BW39" s="3">
        <f t="shared" si="55"/>
        <v>800</v>
      </c>
      <c r="BX39" s="3">
        <f t="shared" si="41"/>
        <v>50.61839071227654</v>
      </c>
      <c r="BY39" s="3">
        <f t="shared" si="56"/>
        <v>800</v>
      </c>
      <c r="BZ39" s="3">
        <f t="shared" si="57"/>
        <v>0</v>
      </c>
      <c r="CA39" s="3">
        <f t="shared" si="42"/>
        <v>81.22297292656593</v>
      </c>
      <c r="CB39" s="3">
        <f t="shared" si="58"/>
        <v>800</v>
      </c>
      <c r="CC39" s="3">
        <f t="shared" si="59"/>
        <v>0</v>
      </c>
      <c r="CD39" s="3">
        <f t="shared" si="43"/>
        <v>40.00220906874379</v>
      </c>
      <c r="CE39" s="3">
        <f t="shared" si="70"/>
        <v>331.0091555555556</v>
      </c>
      <c r="CF39" s="3">
        <f t="shared" si="66"/>
        <v>70.21231507924288</v>
      </c>
      <c r="CG39" s="34">
        <f t="shared" si="44"/>
        <v>0</v>
      </c>
      <c r="CH39" s="34">
        <f t="shared" si="45"/>
        <v>0</v>
      </c>
      <c r="CK39" s="2" t="s">
        <v>22</v>
      </c>
      <c r="CM39" s="4"/>
      <c r="CN39" s="63">
        <f>IF($H$5=0,CL15*10^4,IF($H$5=0.01,CM15*10^4,IF($H$5=0.02,CN15*10^4,IF($H$5=0.03,CO15*10^4,IF($H$5=0.04,CP15*10^4,0)))))</f>
        <v>18000000</v>
      </c>
      <c r="CO39" s="15"/>
      <c r="CP39" s="34"/>
      <c r="CQ39" s="34"/>
    </row>
    <row r="40" spans="1:95" ht="14.25">
      <c r="A40" s="1">
        <f t="shared" si="0"/>
        <v>2028</v>
      </c>
      <c r="B40" s="47">
        <v>4340.5296066</v>
      </c>
      <c r="C40" s="2">
        <f t="shared" si="71"/>
        <v>120</v>
      </c>
      <c r="F40" s="2">
        <f t="shared" si="10"/>
        <v>120</v>
      </c>
      <c r="G40" s="14">
        <f t="shared" si="1"/>
        <v>1058.263447826087</v>
      </c>
      <c r="H40" s="14">
        <f t="shared" si="2"/>
        <v>1178.263447826087</v>
      </c>
      <c r="I40" s="7"/>
      <c r="J40" s="2"/>
      <c r="K40" s="2"/>
      <c r="L40" s="2"/>
      <c r="M40" s="3">
        <f t="shared" si="11"/>
        <v>800</v>
      </c>
      <c r="N40" s="3">
        <f t="shared" si="12"/>
        <v>800</v>
      </c>
      <c r="O40" s="2">
        <f t="shared" si="67"/>
        <v>800</v>
      </c>
      <c r="P40" s="14">
        <f t="shared" si="60"/>
        <v>120</v>
      </c>
      <c r="Q40" s="14">
        <f t="shared" si="61"/>
        <v>0</v>
      </c>
      <c r="R40" s="14">
        <f t="shared" si="62"/>
        <v>0</v>
      </c>
      <c r="S40" s="14">
        <f t="shared" si="63"/>
        <v>211.0091555555556</v>
      </c>
      <c r="T40" s="14">
        <f t="shared" si="68"/>
        <v>331.0091555555556</v>
      </c>
      <c r="Z40" s="1">
        <f t="shared" si="15"/>
        <v>800</v>
      </c>
      <c r="AA40" s="1">
        <f t="shared" si="16"/>
        <v>0</v>
      </c>
      <c r="AB40" s="15">
        <f t="shared" si="17"/>
        <v>800</v>
      </c>
      <c r="AC40" s="2">
        <f t="shared" si="18"/>
        <v>0</v>
      </c>
      <c r="AD40" s="2">
        <f t="shared" si="19"/>
        <v>0</v>
      </c>
      <c r="AE40" s="2">
        <f t="shared" si="20"/>
        <v>0</v>
      </c>
      <c r="AF40" s="2">
        <f t="shared" si="21"/>
        <v>0</v>
      </c>
      <c r="AG40" s="2">
        <f t="shared" si="22"/>
        <v>0</v>
      </c>
      <c r="AH40" s="2">
        <f t="shared" si="23"/>
        <v>0</v>
      </c>
      <c r="AI40" s="2">
        <f t="shared" si="46"/>
        <v>0</v>
      </c>
      <c r="AJ40" s="2">
        <f t="shared" si="24"/>
        <v>800</v>
      </c>
      <c r="AK40" s="2">
        <f t="shared" si="25"/>
        <v>0</v>
      </c>
      <c r="AL40" s="2">
        <f t="shared" si="47"/>
        <v>800</v>
      </c>
      <c r="AM40" s="2">
        <f t="shared" si="26"/>
        <v>120</v>
      </c>
      <c r="AN40" s="2">
        <f t="shared" si="27"/>
        <v>0</v>
      </c>
      <c r="AO40" s="2">
        <f t="shared" si="28"/>
        <v>0</v>
      </c>
      <c r="AP40" s="2">
        <f t="shared" si="29"/>
        <v>0</v>
      </c>
      <c r="AQ40" s="2">
        <f t="shared" si="30"/>
        <v>0</v>
      </c>
      <c r="AR40" s="2">
        <f t="shared" si="31"/>
        <v>0</v>
      </c>
      <c r="AS40" s="2">
        <f t="shared" si="32"/>
        <v>0</v>
      </c>
      <c r="AT40" s="2">
        <f t="shared" si="33"/>
        <v>0</v>
      </c>
      <c r="AU40" s="2">
        <f t="shared" si="48"/>
        <v>120</v>
      </c>
      <c r="AV40" s="2">
        <f t="shared" si="3"/>
        <v>0</v>
      </c>
      <c r="AW40" s="2">
        <f t="shared" si="4"/>
        <v>0</v>
      </c>
      <c r="AX40" s="2">
        <f t="shared" si="5"/>
        <v>1058.263447826087</v>
      </c>
      <c r="AY40" s="2">
        <f t="shared" si="6"/>
        <v>120</v>
      </c>
      <c r="AZ40" s="19"/>
      <c r="BA40" s="2">
        <f t="shared" si="7"/>
        <v>2479.3382244327468</v>
      </c>
      <c r="BB40" s="2">
        <f t="shared" si="8"/>
        <v>1381.6847633688265</v>
      </c>
      <c r="BC40" s="4">
        <f t="shared" si="69"/>
        <v>331.0091555555556</v>
      </c>
      <c r="BD40" s="11">
        <f t="shared" si="64"/>
        <v>29.823252662945034</v>
      </c>
      <c r="BE40" s="3">
        <f t="shared" si="13"/>
        <v>800</v>
      </c>
      <c r="BF40" s="34">
        <f t="shared" si="14"/>
        <v>81.08817217336949</v>
      </c>
      <c r="BG40" s="3">
        <f t="shared" si="72"/>
        <v>0</v>
      </c>
      <c r="BH40" s="34">
        <f t="shared" si="65"/>
        <v>0</v>
      </c>
      <c r="BI40" s="3">
        <f t="shared" si="49"/>
        <v>800</v>
      </c>
      <c r="BJ40" s="3">
        <f t="shared" si="34"/>
        <v>1139.7393088812487</v>
      </c>
      <c r="BK40" s="3">
        <f t="shared" si="50"/>
        <v>800</v>
      </c>
      <c r="BL40" s="3">
        <f t="shared" si="35"/>
        <v>121.63225826005423</v>
      </c>
      <c r="BM40" s="3">
        <f t="shared" si="51"/>
        <v>120</v>
      </c>
      <c r="BN40" s="3">
        <f t="shared" si="36"/>
        <v>175.0153049408558</v>
      </c>
      <c r="BO40" s="3">
        <f t="shared" si="37"/>
        <v>800</v>
      </c>
      <c r="BP40" s="3">
        <f t="shared" si="38"/>
        <v>73.94019368526692</v>
      </c>
      <c r="BQ40" s="3">
        <f t="shared" si="52"/>
        <v>800</v>
      </c>
      <c r="BR40" s="3">
        <f t="shared" si="53"/>
        <v>0</v>
      </c>
      <c r="BS40" s="3">
        <f t="shared" si="39"/>
        <v>6.12067599370154</v>
      </c>
      <c r="BT40" s="3">
        <f t="shared" si="9"/>
        <v>309.339194012127</v>
      </c>
      <c r="BU40" s="3">
        <f t="shared" si="54"/>
        <v>800</v>
      </c>
      <c r="BV40" s="3">
        <f t="shared" si="40"/>
        <v>56.31123067595103</v>
      </c>
      <c r="BW40" s="3">
        <f t="shared" si="55"/>
        <v>800</v>
      </c>
      <c r="BX40" s="3">
        <f t="shared" si="41"/>
        <v>49.62587324732995</v>
      </c>
      <c r="BY40" s="3">
        <f t="shared" si="56"/>
        <v>800</v>
      </c>
      <c r="BZ40" s="3">
        <f t="shared" si="57"/>
        <v>0</v>
      </c>
      <c r="CA40" s="3">
        <f t="shared" si="42"/>
        <v>79.63036561428032</v>
      </c>
      <c r="CB40" s="3">
        <f t="shared" si="58"/>
        <v>800</v>
      </c>
      <c r="CC40" s="3">
        <f t="shared" si="59"/>
        <v>0</v>
      </c>
      <c r="CD40" s="3">
        <f t="shared" si="43"/>
        <v>39.21785202818019</v>
      </c>
      <c r="CE40" s="3">
        <f t="shared" si="70"/>
        <v>331.0091555555556</v>
      </c>
      <c r="CF40" s="3">
        <f t="shared" si="66"/>
        <v>68.83560301886557</v>
      </c>
      <c r="CG40" s="34">
        <f t="shared" si="44"/>
        <v>0</v>
      </c>
      <c r="CH40" s="34">
        <f t="shared" si="45"/>
        <v>0</v>
      </c>
      <c r="CJ40" s="15"/>
      <c r="CK40" s="3" t="s">
        <v>82</v>
      </c>
      <c r="CL40" s="3"/>
      <c r="CN40" s="63">
        <f>IF($H$5=0,CL17*10^4,IF($H$5=0.01,CM17*10^4,IF($H$5=0.02,CN17*10^4,IF($H$5=0.03,CO17*10^4,IF($H$5=0.04,CP17*10^4,0)))))</f>
        <v>253000000</v>
      </c>
      <c r="CO40" s="15"/>
      <c r="CP40" s="34"/>
      <c r="CQ40" s="34"/>
    </row>
    <row r="41" spans="1:93" ht="14.25">
      <c r="A41" s="1">
        <f t="shared" si="0"/>
        <v>2029</v>
      </c>
      <c r="B41" s="47">
        <v>4340.5296066</v>
      </c>
      <c r="C41" s="2">
        <f t="shared" si="71"/>
        <v>120</v>
      </c>
      <c r="F41" s="2">
        <f t="shared" si="10"/>
        <v>120</v>
      </c>
      <c r="G41" s="14">
        <f t="shared" si="1"/>
        <v>1058.263447826087</v>
      </c>
      <c r="H41" s="14">
        <f t="shared" si="2"/>
        <v>1178.263447826087</v>
      </c>
      <c r="I41" s="7"/>
      <c r="J41" s="2"/>
      <c r="K41" s="2"/>
      <c r="L41" s="2"/>
      <c r="M41" s="3">
        <f t="shared" si="11"/>
        <v>800</v>
      </c>
      <c r="N41" s="3">
        <f t="shared" si="12"/>
        <v>800</v>
      </c>
      <c r="O41" s="2">
        <f t="shared" si="67"/>
        <v>800</v>
      </c>
      <c r="P41" s="14">
        <f t="shared" si="60"/>
        <v>120</v>
      </c>
      <c r="Q41" s="14">
        <f t="shared" si="61"/>
        <v>0</v>
      </c>
      <c r="R41" s="14">
        <f t="shared" si="62"/>
        <v>0</v>
      </c>
      <c r="S41" s="14">
        <f t="shared" si="63"/>
        <v>241.76544057971023</v>
      </c>
      <c r="T41" s="14">
        <f t="shared" si="68"/>
        <v>361.76544057971023</v>
      </c>
      <c r="Z41" s="1">
        <f t="shared" si="15"/>
        <v>800</v>
      </c>
      <c r="AA41" s="1">
        <f t="shared" si="16"/>
        <v>0</v>
      </c>
      <c r="AB41" s="15">
        <f t="shared" si="17"/>
        <v>800</v>
      </c>
      <c r="AC41" s="2">
        <f t="shared" si="18"/>
        <v>0</v>
      </c>
      <c r="AD41" s="2">
        <f t="shared" si="19"/>
        <v>0</v>
      </c>
      <c r="AE41" s="2">
        <f t="shared" si="20"/>
        <v>0</v>
      </c>
      <c r="AF41" s="2">
        <f t="shared" si="21"/>
        <v>0</v>
      </c>
      <c r="AG41" s="2">
        <f t="shared" si="22"/>
        <v>0</v>
      </c>
      <c r="AH41" s="2">
        <f t="shared" si="23"/>
        <v>0</v>
      </c>
      <c r="AI41" s="2">
        <f t="shared" si="46"/>
        <v>0</v>
      </c>
      <c r="AJ41" s="2">
        <f t="shared" si="24"/>
        <v>800</v>
      </c>
      <c r="AK41" s="2">
        <f t="shared" si="25"/>
        <v>0</v>
      </c>
      <c r="AL41" s="2">
        <f t="shared" si="47"/>
        <v>800</v>
      </c>
      <c r="AM41" s="2">
        <f t="shared" si="26"/>
        <v>120</v>
      </c>
      <c r="AN41" s="2">
        <f t="shared" si="27"/>
        <v>0</v>
      </c>
      <c r="AO41" s="2">
        <f t="shared" si="28"/>
        <v>0</v>
      </c>
      <c r="AP41" s="2">
        <f t="shared" si="29"/>
        <v>0</v>
      </c>
      <c r="AQ41" s="2">
        <f t="shared" si="30"/>
        <v>0</v>
      </c>
      <c r="AR41" s="2">
        <f t="shared" si="31"/>
        <v>0</v>
      </c>
      <c r="AS41" s="2">
        <f t="shared" si="32"/>
        <v>0</v>
      </c>
      <c r="AT41" s="2">
        <f t="shared" si="33"/>
        <v>0</v>
      </c>
      <c r="AU41" s="2">
        <f t="shared" si="48"/>
        <v>120</v>
      </c>
      <c r="AV41" s="2">
        <f t="shared" si="3"/>
        <v>0</v>
      </c>
      <c r="AW41" s="2">
        <f t="shared" si="4"/>
        <v>0</v>
      </c>
      <c r="AX41" s="2">
        <f t="shared" si="5"/>
        <v>1058.263447826087</v>
      </c>
      <c r="AY41" s="2">
        <f t="shared" si="6"/>
        <v>120</v>
      </c>
      <c r="AZ41" s="19"/>
      <c r="BA41" s="2">
        <f t="shared" si="7"/>
        <v>2430.723749443869</v>
      </c>
      <c r="BB41" s="2">
        <f t="shared" si="8"/>
        <v>1354.5929052635554</v>
      </c>
      <c r="BC41" s="4">
        <f t="shared" si="69"/>
        <v>361.76544057971023</v>
      </c>
      <c r="BD41" s="11">
        <f t="shared" si="64"/>
        <v>31.95522694128803</v>
      </c>
      <c r="BE41" s="3">
        <f t="shared" si="13"/>
        <v>800</v>
      </c>
      <c r="BF41" s="34">
        <f t="shared" si="14"/>
        <v>79.49820801310733</v>
      </c>
      <c r="BG41" s="3">
        <f t="shared" si="72"/>
        <v>0</v>
      </c>
      <c r="BH41" s="34">
        <f t="shared" si="65"/>
        <v>0</v>
      </c>
      <c r="BI41" s="3">
        <f t="shared" si="49"/>
        <v>800</v>
      </c>
      <c r="BJ41" s="3">
        <f t="shared" si="34"/>
        <v>1117.391479295342</v>
      </c>
      <c r="BK41" s="3">
        <f t="shared" si="50"/>
        <v>800</v>
      </c>
      <c r="BL41" s="3">
        <f t="shared" si="35"/>
        <v>119.24731201966098</v>
      </c>
      <c r="BM41" s="3">
        <f t="shared" si="51"/>
        <v>120</v>
      </c>
      <c r="BN41" s="3">
        <f t="shared" si="36"/>
        <v>171.58363229495666</v>
      </c>
      <c r="BO41" s="3">
        <f t="shared" si="37"/>
        <v>800</v>
      </c>
      <c r="BP41" s="3">
        <f t="shared" si="38"/>
        <v>72.49038596594795</v>
      </c>
      <c r="BQ41" s="3">
        <f t="shared" si="52"/>
        <v>800</v>
      </c>
      <c r="BR41" s="3">
        <f t="shared" si="53"/>
        <v>0</v>
      </c>
      <c r="BS41" s="3">
        <f t="shared" si="39"/>
        <v>6.000662738923078</v>
      </c>
      <c r="BT41" s="3">
        <f t="shared" si="9"/>
        <v>303.2737196197324</v>
      </c>
      <c r="BU41" s="3">
        <f t="shared" si="54"/>
        <v>800</v>
      </c>
      <c r="BV41" s="3">
        <f t="shared" si="40"/>
        <v>55.2070888979912</v>
      </c>
      <c r="BW41" s="3">
        <f t="shared" si="55"/>
        <v>800</v>
      </c>
      <c r="BX41" s="3">
        <f t="shared" si="41"/>
        <v>48.65281690914701</v>
      </c>
      <c r="BY41" s="3">
        <f t="shared" si="56"/>
        <v>800</v>
      </c>
      <c r="BZ41" s="3">
        <f t="shared" si="57"/>
        <v>0</v>
      </c>
      <c r="CA41" s="3">
        <f t="shared" si="42"/>
        <v>78.06898589635325</v>
      </c>
      <c r="CB41" s="3">
        <f t="shared" si="58"/>
        <v>800</v>
      </c>
      <c r="CC41" s="3">
        <f t="shared" si="59"/>
        <v>0</v>
      </c>
      <c r="CD41" s="3">
        <f t="shared" si="43"/>
        <v>38.44887453743156</v>
      </c>
      <c r="CE41" s="3">
        <f t="shared" si="70"/>
        <v>361.76544057971023</v>
      </c>
      <c r="CF41" s="3">
        <f t="shared" si="66"/>
        <v>73.75645242214989</v>
      </c>
      <c r="CG41" s="34">
        <f t="shared" si="44"/>
        <v>0</v>
      </c>
      <c r="CH41" s="34">
        <f t="shared" si="45"/>
        <v>0</v>
      </c>
      <c r="CK41" s="3" t="s">
        <v>42</v>
      </c>
      <c r="CL41" s="3"/>
      <c r="CN41" s="63">
        <f>IF($H$5=0,CL18*10^4,IF($H$5=0.01,CM18*10^4,IF($H$5=0.02,CN18*10^4,IF($H$5=0.03,CO18*10^4,IF($H$5=0.04,CP18*10^4,0)))))</f>
        <v>27000000</v>
      </c>
      <c r="CO41" s="15"/>
    </row>
    <row r="42" spans="1:93" ht="14.25">
      <c r="A42" s="1">
        <f t="shared" si="0"/>
        <v>2030</v>
      </c>
      <c r="B42" s="47">
        <v>4409.4864689999995</v>
      </c>
      <c r="C42" s="2">
        <f t="shared" si="71"/>
        <v>120</v>
      </c>
      <c r="F42" s="2">
        <f t="shared" si="10"/>
        <v>120</v>
      </c>
      <c r="G42" s="14">
        <f t="shared" si="1"/>
        <v>1076.7703888888889</v>
      </c>
      <c r="H42" s="14">
        <f t="shared" si="2"/>
        <v>1196.7703888888889</v>
      </c>
      <c r="I42" s="7"/>
      <c r="J42" s="2"/>
      <c r="K42" s="2"/>
      <c r="L42" s="2"/>
      <c r="M42" s="3">
        <f t="shared" si="11"/>
        <v>800</v>
      </c>
      <c r="N42" s="3">
        <f t="shared" si="12"/>
        <v>800</v>
      </c>
      <c r="O42" s="2">
        <f t="shared" si="67"/>
        <v>800</v>
      </c>
      <c r="P42" s="14">
        <f t="shared" si="60"/>
        <v>120</v>
      </c>
      <c r="Q42" s="14">
        <f t="shared" si="61"/>
        <v>0</v>
      </c>
      <c r="R42" s="14">
        <f t="shared" si="62"/>
        <v>0</v>
      </c>
      <c r="S42" s="14">
        <f t="shared" si="63"/>
        <v>241.76544057971023</v>
      </c>
      <c r="T42" s="14">
        <f t="shared" si="68"/>
        <v>361.76544057971023</v>
      </c>
      <c r="Z42" s="1">
        <f t="shared" si="15"/>
        <v>800</v>
      </c>
      <c r="AA42" s="1">
        <f t="shared" si="16"/>
        <v>0</v>
      </c>
      <c r="AB42" s="15">
        <f t="shared" si="17"/>
        <v>800</v>
      </c>
      <c r="AC42" s="2">
        <f t="shared" si="18"/>
        <v>0</v>
      </c>
      <c r="AD42" s="2">
        <f t="shared" si="19"/>
        <v>0</v>
      </c>
      <c r="AE42" s="2">
        <f t="shared" si="20"/>
        <v>0</v>
      </c>
      <c r="AF42" s="2">
        <f t="shared" si="21"/>
        <v>0</v>
      </c>
      <c r="AG42" s="2">
        <f t="shared" si="22"/>
        <v>0</v>
      </c>
      <c r="AH42" s="2">
        <f t="shared" si="23"/>
        <v>0</v>
      </c>
      <c r="AI42" s="2">
        <f t="shared" si="46"/>
        <v>0</v>
      </c>
      <c r="AJ42" s="2">
        <f t="shared" si="24"/>
        <v>800</v>
      </c>
      <c r="AK42" s="2">
        <f t="shared" si="25"/>
        <v>0</v>
      </c>
      <c r="AL42" s="2">
        <f t="shared" si="47"/>
        <v>800</v>
      </c>
      <c r="AM42" s="2">
        <f t="shared" si="26"/>
        <v>120</v>
      </c>
      <c r="AN42" s="2">
        <f t="shared" si="27"/>
        <v>0</v>
      </c>
      <c r="AO42" s="2">
        <f t="shared" si="28"/>
        <v>0</v>
      </c>
      <c r="AP42" s="2">
        <f t="shared" si="29"/>
        <v>0</v>
      </c>
      <c r="AQ42" s="2">
        <f t="shared" si="30"/>
        <v>0</v>
      </c>
      <c r="AR42" s="2">
        <f t="shared" si="31"/>
        <v>0</v>
      </c>
      <c r="AS42" s="2">
        <f t="shared" si="32"/>
        <v>0</v>
      </c>
      <c r="AT42" s="2">
        <f t="shared" si="33"/>
        <v>0</v>
      </c>
      <c r="AU42" s="2">
        <f t="shared" si="48"/>
        <v>120</v>
      </c>
      <c r="AV42" s="2">
        <f t="shared" si="3"/>
        <v>0</v>
      </c>
      <c r="AW42" s="2">
        <f t="shared" si="4"/>
        <v>0</v>
      </c>
      <c r="AX42" s="2">
        <f t="shared" si="5"/>
        <v>1076.7703888888889</v>
      </c>
      <c r="AY42" s="2">
        <f t="shared" si="6"/>
        <v>120</v>
      </c>
      <c r="AZ42" s="19"/>
      <c r="BA42" s="2">
        <f t="shared" si="7"/>
        <v>2420.9215921829123</v>
      </c>
      <c r="BB42" s="2">
        <f t="shared" si="8"/>
        <v>1351.2569257322434</v>
      </c>
      <c r="BC42" s="4">
        <f t="shared" si="69"/>
        <v>361.76544057971023</v>
      </c>
      <c r="BD42" s="11">
        <f t="shared" si="64"/>
        <v>31.328653864007876</v>
      </c>
      <c r="BE42" s="3">
        <f t="shared" si="13"/>
        <v>800</v>
      </c>
      <c r="BF42" s="34">
        <f t="shared" si="14"/>
        <v>77.93941962069347</v>
      </c>
      <c r="BG42" s="3">
        <f t="shared" si="72"/>
        <v>0</v>
      </c>
      <c r="BH42" s="34">
        <f t="shared" si="65"/>
        <v>0</v>
      </c>
      <c r="BI42" s="3">
        <f t="shared" si="49"/>
        <v>800</v>
      </c>
      <c r="BJ42" s="3">
        <f t="shared" si="34"/>
        <v>1095.4818424464138</v>
      </c>
      <c r="BK42" s="3">
        <f t="shared" si="50"/>
        <v>800</v>
      </c>
      <c r="BL42" s="3">
        <f t="shared" si="35"/>
        <v>116.90912943104021</v>
      </c>
      <c r="BM42" s="3">
        <f t="shared" si="51"/>
        <v>120</v>
      </c>
      <c r="BN42" s="3">
        <f t="shared" si="36"/>
        <v>168.21924734799674</v>
      </c>
      <c r="BO42" s="3">
        <f t="shared" si="37"/>
        <v>800</v>
      </c>
      <c r="BP42" s="3">
        <f t="shared" si="38"/>
        <v>71.06900584896859</v>
      </c>
      <c r="BQ42" s="3">
        <f t="shared" si="52"/>
        <v>800</v>
      </c>
      <c r="BR42" s="3">
        <f t="shared" si="53"/>
        <v>0</v>
      </c>
      <c r="BS42" s="3">
        <f t="shared" si="39"/>
        <v>5.883002685218705</v>
      </c>
      <c r="BT42" s="3">
        <f t="shared" si="9"/>
        <v>302.05073543919445</v>
      </c>
      <c r="BU42" s="3">
        <f t="shared" si="54"/>
        <v>800</v>
      </c>
      <c r="BV42" s="3">
        <f t="shared" si="40"/>
        <v>54.12459695881492</v>
      </c>
      <c r="BW42" s="3">
        <f t="shared" si="55"/>
        <v>800</v>
      </c>
      <c r="BX42" s="3">
        <f t="shared" si="41"/>
        <v>47.69884010700688</v>
      </c>
      <c r="BY42" s="3">
        <f t="shared" si="56"/>
        <v>800</v>
      </c>
      <c r="BZ42" s="3">
        <f t="shared" si="57"/>
        <v>0</v>
      </c>
      <c r="CA42" s="3">
        <f t="shared" si="42"/>
        <v>76.538221467013</v>
      </c>
      <c r="CB42" s="3">
        <f t="shared" si="58"/>
        <v>800</v>
      </c>
      <c r="CC42" s="3">
        <f t="shared" si="59"/>
        <v>0</v>
      </c>
      <c r="CD42" s="3">
        <f t="shared" si="43"/>
        <v>37.69497503669761</v>
      </c>
      <c r="CE42" s="3">
        <f t="shared" si="70"/>
        <v>361.76544057971023</v>
      </c>
      <c r="CF42" s="3">
        <f t="shared" si="66"/>
        <v>72.31024747269598</v>
      </c>
      <c r="CG42" s="34">
        <f t="shared" si="44"/>
        <v>0</v>
      </c>
      <c r="CH42" s="34">
        <f t="shared" si="45"/>
        <v>0</v>
      </c>
      <c r="CK42" s="3" t="s">
        <v>26</v>
      </c>
      <c r="CL42" s="3"/>
      <c r="CN42" s="63">
        <f>IF($H$5=0,CL19*10^4/40,IF($H$5=0.01,CM19*10^4/40,IF($H$5=0.02,CN19*10^4/40,IF($H$5=0.03,CO19*10^4/40,IF($H$5=0.04,CP19*10^4/40,0)))))</f>
        <v>600000</v>
      </c>
      <c r="CO42" s="15"/>
    </row>
    <row r="43" spans="1:93" ht="14.25">
      <c r="A43" s="1">
        <f t="shared" si="0"/>
        <v>2031</v>
      </c>
      <c r="B43" s="47">
        <v>4375.211409</v>
      </c>
      <c r="C43" s="2">
        <f t="shared" si="71"/>
        <v>120</v>
      </c>
      <c r="F43" s="2">
        <f t="shared" si="10"/>
        <v>120</v>
      </c>
      <c r="G43" s="14">
        <f t="shared" si="1"/>
        <v>1067.5715</v>
      </c>
      <c r="H43" s="14">
        <f t="shared" si="2"/>
        <v>1187.5715</v>
      </c>
      <c r="I43" s="7"/>
      <c r="J43" s="2"/>
      <c r="K43" s="2"/>
      <c r="L43" s="2"/>
      <c r="M43" s="3">
        <f t="shared" si="11"/>
        <v>800</v>
      </c>
      <c r="N43" s="3">
        <f t="shared" si="12"/>
        <v>800</v>
      </c>
      <c r="O43" s="2">
        <f t="shared" si="67"/>
        <v>800</v>
      </c>
      <c r="P43" s="14">
        <f t="shared" si="60"/>
        <v>120</v>
      </c>
      <c r="Q43" s="14">
        <f t="shared" si="61"/>
        <v>0</v>
      </c>
      <c r="R43" s="14">
        <f t="shared" si="62"/>
        <v>0</v>
      </c>
      <c r="S43" s="14">
        <f t="shared" si="63"/>
        <v>241.76544057971023</v>
      </c>
      <c r="T43" s="14">
        <f t="shared" si="68"/>
        <v>361.76544057971023</v>
      </c>
      <c r="Z43" s="1">
        <f t="shared" si="15"/>
        <v>800</v>
      </c>
      <c r="AA43" s="1">
        <f t="shared" si="16"/>
        <v>0</v>
      </c>
      <c r="AB43" s="15">
        <f t="shared" si="17"/>
        <v>800</v>
      </c>
      <c r="AC43" s="2">
        <f t="shared" si="18"/>
        <v>0</v>
      </c>
      <c r="AD43" s="2">
        <f t="shared" si="19"/>
        <v>0</v>
      </c>
      <c r="AE43" s="2">
        <f t="shared" si="20"/>
        <v>0</v>
      </c>
      <c r="AF43" s="2">
        <f t="shared" si="21"/>
        <v>0</v>
      </c>
      <c r="AG43" s="2">
        <f t="shared" si="22"/>
        <v>0</v>
      </c>
      <c r="AH43" s="2">
        <f t="shared" si="23"/>
        <v>0</v>
      </c>
      <c r="AI43" s="2">
        <f t="shared" si="46"/>
        <v>0</v>
      </c>
      <c r="AJ43" s="2">
        <f t="shared" si="24"/>
        <v>800</v>
      </c>
      <c r="AK43" s="2">
        <f t="shared" si="25"/>
        <v>0</v>
      </c>
      <c r="AL43" s="2">
        <f t="shared" si="47"/>
        <v>800</v>
      </c>
      <c r="AM43" s="2">
        <f t="shared" si="26"/>
        <v>120</v>
      </c>
      <c r="AN43" s="2">
        <f t="shared" si="27"/>
        <v>0</v>
      </c>
      <c r="AO43" s="2">
        <f t="shared" si="28"/>
        <v>0</v>
      </c>
      <c r="AP43" s="2">
        <f t="shared" si="29"/>
        <v>0</v>
      </c>
      <c r="AQ43" s="2">
        <f t="shared" si="30"/>
        <v>0</v>
      </c>
      <c r="AR43" s="2">
        <f t="shared" si="31"/>
        <v>0</v>
      </c>
      <c r="AS43" s="2">
        <f t="shared" si="32"/>
        <v>0</v>
      </c>
      <c r="AT43" s="2">
        <f t="shared" si="33"/>
        <v>0</v>
      </c>
      <c r="AU43" s="2">
        <f t="shared" si="48"/>
        <v>120</v>
      </c>
      <c r="AV43" s="2">
        <f t="shared" si="3"/>
        <v>0</v>
      </c>
      <c r="AW43" s="2">
        <f t="shared" si="4"/>
        <v>0</v>
      </c>
      <c r="AX43" s="2">
        <f t="shared" si="5"/>
        <v>1067.5715</v>
      </c>
      <c r="AY43" s="2">
        <f t="shared" si="6"/>
        <v>120</v>
      </c>
      <c r="AZ43" s="19"/>
      <c r="BA43" s="2">
        <f t="shared" si="7"/>
        <v>2355.0036292582</v>
      </c>
      <c r="BB43" s="2">
        <f t="shared" si="8"/>
        <v>1313.4442042166283</v>
      </c>
      <c r="BC43" s="4">
        <f t="shared" si="69"/>
        <v>361.76544057971023</v>
      </c>
      <c r="BD43" s="11">
        <f t="shared" si="64"/>
        <v>30.71436653334105</v>
      </c>
      <c r="BE43" s="3">
        <f t="shared" si="13"/>
        <v>800</v>
      </c>
      <c r="BF43" s="34">
        <f t="shared" si="14"/>
        <v>76.41119570656221</v>
      </c>
      <c r="BG43" s="3">
        <f t="shared" si="72"/>
        <v>0</v>
      </c>
      <c r="BH43" s="34">
        <f t="shared" si="65"/>
        <v>0</v>
      </c>
      <c r="BI43" s="3">
        <f t="shared" si="49"/>
        <v>800</v>
      </c>
      <c r="BJ43" s="3">
        <f t="shared" si="34"/>
        <v>1074.0018063200134</v>
      </c>
      <c r="BK43" s="3">
        <f t="shared" si="50"/>
        <v>800</v>
      </c>
      <c r="BL43" s="3">
        <f t="shared" si="35"/>
        <v>114.61679355984333</v>
      </c>
      <c r="BM43" s="3">
        <f t="shared" si="51"/>
        <v>120</v>
      </c>
      <c r="BN43" s="3">
        <f t="shared" si="36"/>
        <v>164.92083073333012</v>
      </c>
      <c r="BO43" s="3">
        <f t="shared" si="37"/>
        <v>800</v>
      </c>
      <c r="BP43" s="3">
        <f t="shared" si="38"/>
        <v>69.67549593036135</v>
      </c>
      <c r="BQ43" s="3">
        <f t="shared" si="52"/>
        <v>800</v>
      </c>
      <c r="BR43" s="3">
        <f t="shared" si="53"/>
        <v>0</v>
      </c>
      <c r="BS43" s="3">
        <f t="shared" si="39"/>
        <v>5.767649691390887</v>
      </c>
      <c r="BT43" s="3">
        <f t="shared" si="9"/>
        <v>293.82635954682615</v>
      </c>
      <c r="BU43" s="3">
        <f t="shared" si="54"/>
        <v>800</v>
      </c>
      <c r="BV43" s="3">
        <f t="shared" si="40"/>
        <v>53.06333035177932</v>
      </c>
      <c r="BW43" s="3">
        <f t="shared" si="55"/>
        <v>800</v>
      </c>
      <c r="BX43" s="3">
        <f t="shared" si="41"/>
        <v>46.76356873235969</v>
      </c>
      <c r="BY43" s="3">
        <f t="shared" si="56"/>
        <v>800</v>
      </c>
      <c r="BZ43" s="3">
        <f t="shared" si="57"/>
        <v>0</v>
      </c>
      <c r="CA43" s="3">
        <f t="shared" si="42"/>
        <v>75.03747202648333</v>
      </c>
      <c r="CB43" s="3">
        <f t="shared" si="58"/>
        <v>800</v>
      </c>
      <c r="CC43" s="3">
        <f t="shared" si="59"/>
        <v>0</v>
      </c>
      <c r="CD43" s="3">
        <f t="shared" si="43"/>
        <v>36.95585787911531</v>
      </c>
      <c r="CE43" s="3">
        <f t="shared" si="70"/>
        <v>361.76544057971023</v>
      </c>
      <c r="CF43" s="3">
        <f t="shared" si="66"/>
        <v>70.89239948303526</v>
      </c>
      <c r="CG43" s="34">
        <f t="shared" si="44"/>
        <v>0</v>
      </c>
      <c r="CH43" s="34">
        <f t="shared" si="45"/>
        <v>0</v>
      </c>
      <c r="CK43" s="3" t="s">
        <v>28</v>
      </c>
      <c r="CL43" s="3"/>
      <c r="CN43" s="63">
        <f>IF($H$5=0,CL20*10^4,IF($H$5=0.01,CM20*10^4,IF($H$5=0.02,CN20*10^4,IF($H$5=0.03,CO20*10^4,IF($H$5=0.04,CP20*10^4,0)))))</f>
        <v>3000000</v>
      </c>
      <c r="CO43" s="15"/>
    </row>
    <row r="44" spans="1:93" ht="14.25">
      <c r="A44" s="1">
        <f t="shared" si="0"/>
        <v>2032</v>
      </c>
      <c r="B44" s="47">
        <v>4337.955909</v>
      </c>
      <c r="C44" s="2">
        <f t="shared" si="71"/>
        <v>120</v>
      </c>
      <c r="F44" s="2">
        <f t="shared" si="10"/>
        <v>120</v>
      </c>
      <c r="G44" s="14">
        <f t="shared" si="1"/>
        <v>1057.5727077294687</v>
      </c>
      <c r="H44" s="14">
        <f t="shared" si="2"/>
        <v>1177.5727077294687</v>
      </c>
      <c r="I44" s="7"/>
      <c r="J44" s="2"/>
      <c r="K44" s="2"/>
      <c r="L44" s="2"/>
      <c r="M44" s="3">
        <f t="shared" si="11"/>
        <v>800</v>
      </c>
      <c r="N44" s="3">
        <f t="shared" si="12"/>
        <v>800</v>
      </c>
      <c r="O44" s="2">
        <f t="shared" si="67"/>
        <v>800</v>
      </c>
      <c r="P44" s="14">
        <f t="shared" si="60"/>
        <v>120</v>
      </c>
      <c r="Q44" s="14">
        <f t="shared" si="61"/>
        <v>0</v>
      </c>
      <c r="R44" s="14">
        <f t="shared" si="62"/>
        <v>0</v>
      </c>
      <c r="S44" s="14">
        <f t="shared" si="63"/>
        <v>258.26344782608703</v>
      </c>
      <c r="T44" s="14">
        <f t="shared" si="68"/>
        <v>378.26344782608703</v>
      </c>
      <c r="Z44" s="1">
        <f t="shared" si="15"/>
        <v>800</v>
      </c>
      <c r="AA44" s="1">
        <f t="shared" si="16"/>
        <v>0</v>
      </c>
      <c r="AB44" s="15">
        <f t="shared" si="17"/>
        <v>800</v>
      </c>
      <c r="AC44" s="2">
        <f t="shared" si="18"/>
        <v>0</v>
      </c>
      <c r="AD44" s="2">
        <f t="shared" si="19"/>
        <v>0</v>
      </c>
      <c r="AE44" s="2">
        <f t="shared" si="20"/>
        <v>0</v>
      </c>
      <c r="AF44" s="2">
        <f t="shared" si="21"/>
        <v>0</v>
      </c>
      <c r="AG44" s="2">
        <f t="shared" si="22"/>
        <v>0</v>
      </c>
      <c r="AH44" s="2">
        <f t="shared" si="23"/>
        <v>0</v>
      </c>
      <c r="AI44" s="2">
        <f t="shared" si="46"/>
        <v>0</v>
      </c>
      <c r="AJ44" s="2">
        <f t="shared" si="24"/>
        <v>800</v>
      </c>
      <c r="AK44" s="2">
        <f t="shared" si="25"/>
        <v>0</v>
      </c>
      <c r="AL44" s="2">
        <f t="shared" si="47"/>
        <v>800</v>
      </c>
      <c r="AM44" s="2">
        <f t="shared" si="26"/>
        <v>120</v>
      </c>
      <c r="AN44" s="2">
        <f t="shared" si="27"/>
        <v>0</v>
      </c>
      <c r="AO44" s="2">
        <f t="shared" si="28"/>
        <v>0</v>
      </c>
      <c r="AP44" s="2">
        <f t="shared" si="29"/>
        <v>0</v>
      </c>
      <c r="AQ44" s="2">
        <f t="shared" si="30"/>
        <v>0</v>
      </c>
      <c r="AR44" s="2">
        <f t="shared" si="31"/>
        <v>0</v>
      </c>
      <c r="AS44" s="2">
        <f t="shared" si="32"/>
        <v>0</v>
      </c>
      <c r="AT44" s="2">
        <f t="shared" si="33"/>
        <v>0</v>
      </c>
      <c r="AU44" s="2">
        <f t="shared" si="48"/>
        <v>120</v>
      </c>
      <c r="AV44" s="2">
        <f t="shared" si="3"/>
        <v>0</v>
      </c>
      <c r="AW44" s="2">
        <f t="shared" si="4"/>
        <v>0</v>
      </c>
      <c r="AX44" s="2">
        <f t="shared" si="5"/>
        <v>1057.5727077294687</v>
      </c>
      <c r="AY44" s="2">
        <f t="shared" si="6"/>
        <v>120</v>
      </c>
      <c r="AZ44" s="19"/>
      <c r="BA44" s="2">
        <f t="shared" si="7"/>
        <v>2289.167121504633</v>
      </c>
      <c r="BB44" s="2">
        <f t="shared" si="8"/>
        <v>1275.6299874270776</v>
      </c>
      <c r="BC44" s="4">
        <f t="shared" si="69"/>
        <v>378.26344782608703</v>
      </c>
      <c r="BD44" s="11">
        <f t="shared" si="64"/>
        <v>31.485362026664625</v>
      </c>
      <c r="BE44" s="3">
        <f t="shared" si="13"/>
        <v>800</v>
      </c>
      <c r="BF44" s="34">
        <f t="shared" si="14"/>
        <v>74.91293696721786</v>
      </c>
      <c r="BG44" s="3">
        <f t="shared" si="72"/>
        <v>0</v>
      </c>
      <c r="BH44" s="34">
        <f t="shared" si="65"/>
        <v>0</v>
      </c>
      <c r="BI44" s="3">
        <f t="shared" si="49"/>
        <v>800</v>
      </c>
      <c r="BJ44" s="3">
        <f t="shared" si="34"/>
        <v>1052.942947372562</v>
      </c>
      <c r="BK44" s="3">
        <f t="shared" si="50"/>
        <v>800</v>
      </c>
      <c r="BL44" s="3">
        <f t="shared" si="35"/>
        <v>112.36940545082678</v>
      </c>
      <c r="BM44" s="3">
        <f t="shared" si="51"/>
        <v>120</v>
      </c>
      <c r="BN44" s="3">
        <f t="shared" si="36"/>
        <v>161.6870889542452</v>
      </c>
      <c r="BO44" s="3">
        <f t="shared" si="37"/>
        <v>800</v>
      </c>
      <c r="BP44" s="3">
        <f t="shared" si="38"/>
        <v>68.3093097356484</v>
      </c>
      <c r="BQ44" s="3">
        <f t="shared" si="52"/>
        <v>800</v>
      </c>
      <c r="BR44" s="3">
        <f t="shared" si="53"/>
        <v>0</v>
      </c>
      <c r="BS44" s="3">
        <f t="shared" si="39"/>
        <v>5.654558520971458</v>
      </c>
      <c r="BT44" s="3">
        <f t="shared" si="9"/>
        <v>285.6121465587127</v>
      </c>
      <c r="BU44" s="3">
        <f t="shared" si="54"/>
        <v>800</v>
      </c>
      <c r="BV44" s="3">
        <f t="shared" si="40"/>
        <v>52.022872893901294</v>
      </c>
      <c r="BW44" s="3">
        <f t="shared" si="55"/>
        <v>800</v>
      </c>
      <c r="BX44" s="3">
        <f t="shared" si="41"/>
        <v>45.84663601211734</v>
      </c>
      <c r="BY44" s="3">
        <f t="shared" si="56"/>
        <v>800</v>
      </c>
      <c r="BZ44" s="3">
        <f t="shared" si="57"/>
        <v>0</v>
      </c>
      <c r="CA44" s="3">
        <f t="shared" si="42"/>
        <v>73.5661490455719</v>
      </c>
      <c r="CB44" s="3">
        <f t="shared" si="58"/>
        <v>800</v>
      </c>
      <c r="CC44" s="3">
        <f t="shared" si="59"/>
        <v>0</v>
      </c>
      <c r="CD44" s="3">
        <f t="shared" si="43"/>
        <v>36.23123321481893</v>
      </c>
      <c r="CE44" s="3">
        <f t="shared" si="70"/>
        <v>378.26344782608703</v>
      </c>
      <c r="CF44" s="3">
        <f t="shared" si="66"/>
        <v>72.6719484915744</v>
      </c>
      <c r="CG44" s="34">
        <f t="shared" si="44"/>
        <v>0</v>
      </c>
      <c r="CH44" s="34">
        <f t="shared" si="45"/>
        <v>0</v>
      </c>
      <c r="CK44" s="3" t="s">
        <v>133</v>
      </c>
      <c r="CN44" s="112">
        <f>0.1204/(1-$H$3)</f>
        <v>0.12476683937823833</v>
      </c>
      <c r="CO44" s="3" t="s">
        <v>134</v>
      </c>
    </row>
    <row r="45" spans="1:93" ht="14.25">
      <c r="A45" s="1">
        <f aca="true" t="shared" si="73" ref="A45:A76">A44+1</f>
        <v>2033</v>
      </c>
      <c r="B45" s="47">
        <v>4337.955909</v>
      </c>
      <c r="C45" s="2">
        <f t="shared" si="71"/>
        <v>120</v>
      </c>
      <c r="F45" s="2">
        <f t="shared" si="10"/>
        <v>120</v>
      </c>
      <c r="G45" s="14">
        <f t="shared" si="1"/>
        <v>1057.5727077294687</v>
      </c>
      <c r="H45" s="14">
        <f t="shared" si="2"/>
        <v>1177.5727077294687</v>
      </c>
      <c r="I45" s="7"/>
      <c r="J45" s="2"/>
      <c r="K45" s="2"/>
      <c r="L45" s="2"/>
      <c r="M45" s="3">
        <f t="shared" si="11"/>
        <v>800</v>
      </c>
      <c r="N45" s="3">
        <f t="shared" si="12"/>
        <v>800</v>
      </c>
      <c r="O45" s="2">
        <f t="shared" si="67"/>
        <v>800</v>
      </c>
      <c r="P45" s="14">
        <f t="shared" si="60"/>
        <v>120</v>
      </c>
      <c r="Q45" s="14">
        <f t="shared" si="61"/>
        <v>0</v>
      </c>
      <c r="R45" s="14">
        <f t="shared" si="62"/>
        <v>0</v>
      </c>
      <c r="S45" s="14">
        <f t="shared" si="63"/>
        <v>258.26344782608703</v>
      </c>
      <c r="T45" s="14">
        <f t="shared" si="68"/>
        <v>378.26344782608703</v>
      </c>
      <c r="Z45" s="1">
        <f t="shared" si="15"/>
        <v>800</v>
      </c>
      <c r="AA45" s="1">
        <f t="shared" si="16"/>
        <v>0</v>
      </c>
      <c r="AB45" s="15">
        <f t="shared" si="17"/>
        <v>800</v>
      </c>
      <c r="AC45" s="2">
        <f t="shared" si="18"/>
        <v>0</v>
      </c>
      <c r="AD45" s="2">
        <f t="shared" si="19"/>
        <v>0</v>
      </c>
      <c r="AE45" s="2">
        <f t="shared" si="20"/>
        <v>0</v>
      </c>
      <c r="AF45" s="2">
        <f t="shared" si="21"/>
        <v>0</v>
      </c>
      <c r="AG45" s="2">
        <f t="shared" si="22"/>
        <v>0</v>
      </c>
      <c r="AH45" s="2">
        <f t="shared" si="23"/>
        <v>0</v>
      </c>
      <c r="AI45" s="2">
        <f t="shared" si="46"/>
        <v>0</v>
      </c>
      <c r="AJ45" s="2">
        <f t="shared" si="24"/>
        <v>800</v>
      </c>
      <c r="AK45" s="2">
        <f t="shared" si="25"/>
        <v>0</v>
      </c>
      <c r="AL45" s="2">
        <f t="shared" si="47"/>
        <v>800</v>
      </c>
      <c r="AM45" s="2">
        <f t="shared" si="26"/>
        <v>120</v>
      </c>
      <c r="AN45" s="2">
        <f t="shared" si="27"/>
        <v>0</v>
      </c>
      <c r="AO45" s="2">
        <f t="shared" si="28"/>
        <v>0</v>
      </c>
      <c r="AP45" s="2">
        <f t="shared" si="29"/>
        <v>0</v>
      </c>
      <c r="AQ45" s="2">
        <f t="shared" si="30"/>
        <v>0</v>
      </c>
      <c r="AR45" s="2">
        <f t="shared" si="31"/>
        <v>0</v>
      </c>
      <c r="AS45" s="2">
        <f t="shared" si="32"/>
        <v>0</v>
      </c>
      <c r="AT45" s="2">
        <f t="shared" si="33"/>
        <v>0</v>
      </c>
      <c r="AU45" s="2">
        <f t="shared" si="48"/>
        <v>120</v>
      </c>
      <c r="AV45" s="2">
        <f t="shared" si="3"/>
        <v>0</v>
      </c>
      <c r="AW45" s="2">
        <f t="shared" si="4"/>
        <v>0</v>
      </c>
      <c r="AX45" s="2">
        <f t="shared" si="5"/>
        <v>1057.5727077294687</v>
      </c>
      <c r="AY45" s="2">
        <f t="shared" si="6"/>
        <v>120</v>
      </c>
      <c r="AZ45" s="19"/>
      <c r="BA45" s="2">
        <f t="shared" si="7"/>
        <v>2244.281491671209</v>
      </c>
      <c r="BB45" s="2">
        <f t="shared" si="8"/>
        <v>1250.6176347324292</v>
      </c>
      <c r="BC45" s="4">
        <f t="shared" si="69"/>
        <v>378.26344782608703</v>
      </c>
      <c r="BD45" s="11">
        <f t="shared" si="64"/>
        <v>30.868001986926103</v>
      </c>
      <c r="BE45" s="3">
        <f t="shared" si="13"/>
        <v>800</v>
      </c>
      <c r="BF45" s="34">
        <f t="shared" si="14"/>
        <v>73.44405585021359</v>
      </c>
      <c r="BG45" s="3">
        <f t="shared" si="72"/>
        <v>0</v>
      </c>
      <c r="BH45" s="34">
        <f t="shared" si="65"/>
        <v>0</v>
      </c>
      <c r="BI45" s="3">
        <f t="shared" si="49"/>
        <v>800</v>
      </c>
      <c r="BJ45" s="3">
        <f t="shared" si="34"/>
        <v>1032.2970072280023</v>
      </c>
      <c r="BK45" s="3">
        <f t="shared" si="50"/>
        <v>800</v>
      </c>
      <c r="BL45" s="3">
        <f t="shared" si="35"/>
        <v>110.16608377532037</v>
      </c>
      <c r="BM45" s="3">
        <f t="shared" si="51"/>
        <v>120</v>
      </c>
      <c r="BN45" s="3">
        <f t="shared" si="36"/>
        <v>158.516753876711</v>
      </c>
      <c r="BO45" s="3">
        <f t="shared" si="37"/>
        <v>800</v>
      </c>
      <c r="BP45" s="3">
        <f t="shared" si="38"/>
        <v>66.96991150553764</v>
      </c>
      <c r="BQ45" s="3">
        <f t="shared" si="52"/>
        <v>800</v>
      </c>
      <c r="BR45" s="3">
        <f t="shared" si="53"/>
        <v>0</v>
      </c>
      <c r="BS45" s="3">
        <f t="shared" si="39"/>
        <v>5.543684824481821</v>
      </c>
      <c r="BT45" s="3">
        <f t="shared" si="9"/>
        <v>280.01190839089486</v>
      </c>
      <c r="BU45" s="3">
        <f t="shared" si="54"/>
        <v>800</v>
      </c>
      <c r="BV45" s="3">
        <f t="shared" si="40"/>
        <v>51.00281656264833</v>
      </c>
      <c r="BW45" s="3">
        <f t="shared" si="55"/>
        <v>800</v>
      </c>
      <c r="BX45" s="3">
        <f t="shared" si="41"/>
        <v>44.94768236482092</v>
      </c>
      <c r="BY45" s="3">
        <f t="shared" si="56"/>
        <v>800</v>
      </c>
      <c r="BZ45" s="3">
        <f t="shared" si="57"/>
        <v>0</v>
      </c>
      <c r="CA45" s="3">
        <f t="shared" si="42"/>
        <v>72.1236755348744</v>
      </c>
      <c r="CB45" s="3">
        <f t="shared" si="58"/>
        <v>800</v>
      </c>
      <c r="CC45" s="3">
        <f t="shared" si="59"/>
        <v>0</v>
      </c>
      <c r="CD45" s="3">
        <f t="shared" si="43"/>
        <v>35.520816877273454</v>
      </c>
      <c r="CE45" s="3">
        <f t="shared" si="70"/>
        <v>378.26344782608703</v>
      </c>
      <c r="CF45" s="3">
        <f t="shared" si="66"/>
        <v>71.24700832507294</v>
      </c>
      <c r="CG45" s="34">
        <f t="shared" si="44"/>
        <v>0</v>
      </c>
      <c r="CH45" s="34">
        <f t="shared" si="45"/>
        <v>0</v>
      </c>
      <c r="CK45" s="3" t="s">
        <v>29</v>
      </c>
      <c r="CL45" s="3"/>
      <c r="CN45" s="63">
        <f>IF($H$5=0,CL21*10^4/2,IF($H$5=0.01,CM21*10^4/2,IF($H$5=0.02,CN21*10^4/2,IF($H$5=0.03,CO21*10^4/2,IF($H$5=0.04,CP21*10^4/2,0)))))</f>
        <v>12500000</v>
      </c>
      <c r="CO45" s="15"/>
    </row>
    <row r="46" spans="1:93" ht="14.25">
      <c r="A46" s="1">
        <f t="shared" si="73"/>
        <v>2034</v>
      </c>
      <c r="B46" s="47">
        <v>4407.251138999999</v>
      </c>
      <c r="C46" s="2">
        <f t="shared" si="71"/>
        <v>120</v>
      </c>
      <c r="F46" s="2">
        <f t="shared" si="10"/>
        <v>120</v>
      </c>
      <c r="G46" s="14">
        <f aca="true" t="shared" si="74" ref="G46:G72">(B46/$H$2*10^8/10^3/24-F46*$C$5)/$C$4</f>
        <v>1076.170461352657</v>
      </c>
      <c r="H46" s="14">
        <f aca="true" t="shared" si="75" ref="H46:H72">F46+G46</f>
        <v>1196.170461352657</v>
      </c>
      <c r="I46" s="7"/>
      <c r="J46" s="2"/>
      <c r="K46" s="2"/>
      <c r="L46" s="2"/>
      <c r="M46" s="3">
        <f t="shared" si="11"/>
        <v>800</v>
      </c>
      <c r="N46" s="3">
        <f t="shared" si="12"/>
        <v>800</v>
      </c>
      <c r="O46" s="2">
        <f t="shared" si="67"/>
        <v>800</v>
      </c>
      <c r="P46" s="14">
        <f t="shared" si="60"/>
        <v>120</v>
      </c>
      <c r="Q46" s="14">
        <f t="shared" si="61"/>
        <v>0</v>
      </c>
      <c r="R46" s="14">
        <f t="shared" si="62"/>
        <v>0</v>
      </c>
      <c r="S46" s="14">
        <f t="shared" si="63"/>
        <v>258.26344782608703</v>
      </c>
      <c r="T46" s="14">
        <f t="shared" si="68"/>
        <v>378.26344782608703</v>
      </c>
      <c r="Z46" s="1">
        <f t="shared" si="15"/>
        <v>800</v>
      </c>
      <c r="AA46" s="1">
        <f t="shared" si="16"/>
        <v>0</v>
      </c>
      <c r="AB46" s="15">
        <f t="shared" si="17"/>
        <v>800</v>
      </c>
      <c r="AC46" s="2">
        <f t="shared" si="18"/>
        <v>0</v>
      </c>
      <c r="AD46" s="2">
        <f t="shared" si="19"/>
        <v>0</v>
      </c>
      <c r="AE46" s="2">
        <f t="shared" si="20"/>
        <v>0</v>
      </c>
      <c r="AF46" s="2">
        <f t="shared" si="21"/>
        <v>0</v>
      </c>
      <c r="AG46" s="2">
        <f t="shared" si="22"/>
        <v>0</v>
      </c>
      <c r="AH46" s="2">
        <f t="shared" si="23"/>
        <v>0</v>
      </c>
      <c r="AI46" s="2">
        <f t="shared" si="46"/>
        <v>0</v>
      </c>
      <c r="AJ46" s="2">
        <f t="shared" si="24"/>
        <v>800</v>
      </c>
      <c r="AK46" s="2">
        <f t="shared" si="25"/>
        <v>0</v>
      </c>
      <c r="AL46" s="2">
        <f t="shared" si="47"/>
        <v>800</v>
      </c>
      <c r="AM46" s="2">
        <f t="shared" si="26"/>
        <v>120</v>
      </c>
      <c r="AN46" s="2">
        <f t="shared" si="27"/>
        <v>0</v>
      </c>
      <c r="AO46" s="2">
        <f t="shared" si="28"/>
        <v>0</v>
      </c>
      <c r="AP46" s="2">
        <f t="shared" si="29"/>
        <v>0</v>
      </c>
      <c r="AQ46" s="2">
        <f t="shared" si="30"/>
        <v>0</v>
      </c>
      <c r="AR46" s="2">
        <f t="shared" si="31"/>
        <v>0</v>
      </c>
      <c r="AS46" s="2">
        <f t="shared" si="32"/>
        <v>0</v>
      </c>
      <c r="AT46" s="2">
        <f t="shared" si="33"/>
        <v>0</v>
      </c>
      <c r="AU46" s="2">
        <f t="shared" si="48"/>
        <v>120</v>
      </c>
      <c r="AV46" s="2">
        <f aca="true" t="shared" si="76" ref="AV46:AV72">IF($L$3&gt;0,0,S51)</f>
        <v>0</v>
      </c>
      <c r="AW46" s="2">
        <f aca="true" t="shared" si="77" ref="AW46:AW72">IF($L$3&gt;0,0,P51+Q51+R51)</f>
        <v>0</v>
      </c>
      <c r="AX46" s="2">
        <f aca="true" t="shared" si="78" ref="AX46:AX72">M47+IF($L$3&gt;0,S51,0)</f>
        <v>1076.170461352657</v>
      </c>
      <c r="AY46" s="2">
        <f aca="true" t="shared" si="79" ref="AY46:AY72">L47+IF($L$3&gt;0,P51+Q51+R51,0)</f>
        <v>120</v>
      </c>
      <c r="AZ46" s="19"/>
      <c r="BA46" s="2">
        <f aca="true" t="shared" si="80" ref="BA46:BA72">(F46*$C$5+G46*$C$4)*10^3*24*$H$2*$CN$52*(1-$H$3)/10^8/(1+$H$5)^(A46-5-$C$2+1)</f>
        <v>2235.423546973249</v>
      </c>
      <c r="BB46" s="2">
        <f aca="true" t="shared" si="81" ref="BB46:BB72">$CN$37*G46/10^8/((1+$H$5)^(A46-5-$C$2+1))</f>
        <v>1247.657004915055</v>
      </c>
      <c r="BC46" s="4">
        <f t="shared" si="69"/>
        <v>378.26344782608703</v>
      </c>
      <c r="BD46" s="11">
        <f t="shared" si="64"/>
        <v>30.262747046005984</v>
      </c>
      <c r="BE46" s="3">
        <f t="shared" si="13"/>
        <v>800</v>
      </c>
      <c r="BF46" s="34">
        <f t="shared" si="14"/>
        <v>72.00397632373881</v>
      </c>
      <c r="BG46" s="3">
        <f aca="true" t="shared" si="82" ref="BG46:BG77">Y46</f>
        <v>0</v>
      </c>
      <c r="BH46" s="34">
        <f t="shared" si="65"/>
        <v>0</v>
      </c>
      <c r="BI46" s="3">
        <f t="shared" si="49"/>
        <v>800</v>
      </c>
      <c r="BJ46" s="3">
        <f t="shared" si="34"/>
        <v>1012.0558894392178</v>
      </c>
      <c r="BK46" s="3">
        <f t="shared" si="50"/>
        <v>800</v>
      </c>
      <c r="BL46" s="3">
        <f t="shared" si="35"/>
        <v>108.00596448560822</v>
      </c>
      <c r="BM46" s="3">
        <f t="shared" si="51"/>
        <v>120</v>
      </c>
      <c r="BN46" s="3">
        <f t="shared" si="36"/>
        <v>155.40858223206962</v>
      </c>
      <c r="BO46" s="3">
        <f t="shared" si="37"/>
        <v>800</v>
      </c>
      <c r="BP46" s="3">
        <f t="shared" si="38"/>
        <v>65.65677598582121</v>
      </c>
      <c r="BQ46" s="3">
        <f t="shared" si="52"/>
        <v>800</v>
      </c>
      <c r="BR46" s="3">
        <f t="shared" si="53"/>
        <v>0</v>
      </c>
      <c r="BS46" s="3">
        <f t="shared" si="39"/>
        <v>5.434985122041002</v>
      </c>
      <c r="BT46" s="3">
        <f aca="true" t="shared" si="83" ref="BT46:BT72">(AX46*$C$4+AY46*$C$5)*10^3*24*$H$2*(1-$H$3)*$CN$44/10^8*$CN$52/(1+$H$5)^(A46-5-$C$2+1)</f>
        <v>278.9067306275432</v>
      </c>
      <c r="BU46" s="3">
        <f t="shared" si="54"/>
        <v>800</v>
      </c>
      <c r="BV46" s="3">
        <f t="shared" si="40"/>
        <v>50.00276133592974</v>
      </c>
      <c r="BW46" s="3">
        <f t="shared" si="55"/>
        <v>800</v>
      </c>
      <c r="BX46" s="3">
        <f t="shared" si="41"/>
        <v>44.06635525962835</v>
      </c>
      <c r="BY46" s="3">
        <f t="shared" si="56"/>
        <v>800</v>
      </c>
      <c r="BZ46" s="3">
        <f t="shared" si="57"/>
        <v>0</v>
      </c>
      <c r="CA46" s="3">
        <f t="shared" si="42"/>
        <v>70.70948581850432</v>
      </c>
      <c r="CB46" s="3">
        <f t="shared" si="58"/>
        <v>800</v>
      </c>
      <c r="CC46" s="3">
        <f t="shared" si="59"/>
        <v>0</v>
      </c>
      <c r="CD46" s="3">
        <f t="shared" si="43"/>
        <v>34.82433027183672</v>
      </c>
      <c r="CE46" s="3">
        <f t="shared" si="70"/>
        <v>378.26344782608703</v>
      </c>
      <c r="CF46" s="3">
        <f t="shared" si="66"/>
        <v>69.85000816183623</v>
      </c>
      <c r="CG46" s="34">
        <f t="shared" si="44"/>
        <v>0</v>
      </c>
      <c r="CH46" s="34">
        <f t="shared" si="45"/>
        <v>0</v>
      </c>
      <c r="CK46" s="3" t="s">
        <v>48</v>
      </c>
      <c r="CL46" s="3"/>
      <c r="CN46" s="133">
        <f>IF($H$5=0,CL21*10^4/2/12,IF($H$5=0.01,CM21*10^4/2/12,IF($H$5=0.02,CN21*10^4/2/12,IF($H$5=0.03,CO21*10^4/2/12,IF($H$5=0.04,CP21*10^4/2/12,0)))))</f>
        <v>1041666.6666666666</v>
      </c>
      <c r="CO46" s="15"/>
    </row>
    <row r="47" spans="1:93" ht="14.25">
      <c r="A47" s="1">
        <f t="shared" si="73"/>
        <v>2035</v>
      </c>
      <c r="B47" s="47">
        <v>4415.819904</v>
      </c>
      <c r="C47" s="2">
        <f t="shared" si="71"/>
        <v>120</v>
      </c>
      <c r="F47" s="2">
        <f t="shared" si="10"/>
        <v>120</v>
      </c>
      <c r="G47" s="14">
        <f t="shared" si="74"/>
        <v>1078.4701835748792</v>
      </c>
      <c r="H47" s="14">
        <f t="shared" si="75"/>
        <v>1198.4701835748792</v>
      </c>
      <c r="I47" s="7"/>
      <c r="J47" s="2"/>
      <c r="K47" s="2"/>
      <c r="L47" s="2"/>
      <c r="M47" s="3">
        <f aca="true" t="shared" si="84" ref="M47:M73">IF((O47-L47)&lt;G46,O47-L47,G46)</f>
        <v>800</v>
      </c>
      <c r="N47" s="3">
        <f aca="true" t="shared" si="85" ref="N47:N73">SUM(L47:M47)</f>
        <v>800</v>
      </c>
      <c r="O47" s="2">
        <f t="shared" si="67"/>
        <v>800</v>
      </c>
      <c r="P47" s="14">
        <f t="shared" si="60"/>
        <v>120</v>
      </c>
      <c r="Q47" s="14">
        <f t="shared" si="61"/>
        <v>0</v>
      </c>
      <c r="R47" s="14">
        <f t="shared" si="62"/>
        <v>0</v>
      </c>
      <c r="S47" s="14">
        <f t="shared" si="63"/>
        <v>276.7703888888889</v>
      </c>
      <c r="T47" s="14">
        <f t="shared" si="68"/>
        <v>396.7703888888889</v>
      </c>
      <c r="Z47" s="1">
        <f t="shared" si="15"/>
        <v>800</v>
      </c>
      <c r="AA47" s="1">
        <f t="shared" si="16"/>
        <v>0</v>
      </c>
      <c r="AB47" s="15">
        <f t="shared" si="17"/>
        <v>800</v>
      </c>
      <c r="AC47" s="2">
        <f t="shared" si="18"/>
        <v>0</v>
      </c>
      <c r="AD47" s="2">
        <f t="shared" si="19"/>
        <v>0</v>
      </c>
      <c r="AE47" s="2">
        <f t="shared" si="20"/>
        <v>0</v>
      </c>
      <c r="AF47" s="2">
        <f t="shared" si="21"/>
        <v>0</v>
      </c>
      <c r="AG47" s="2">
        <f t="shared" si="22"/>
        <v>0</v>
      </c>
      <c r="AH47" s="2">
        <f t="shared" si="23"/>
        <v>0</v>
      </c>
      <c r="AI47" s="2">
        <f t="shared" si="46"/>
        <v>0</v>
      </c>
      <c r="AJ47" s="2">
        <f t="shared" si="24"/>
        <v>800</v>
      </c>
      <c r="AK47" s="2">
        <f t="shared" si="25"/>
        <v>0</v>
      </c>
      <c r="AL47" s="2">
        <f t="shared" si="47"/>
        <v>800</v>
      </c>
      <c r="AM47" s="2">
        <f t="shared" si="26"/>
        <v>120</v>
      </c>
      <c r="AN47" s="2">
        <f t="shared" si="27"/>
        <v>0</v>
      </c>
      <c r="AO47" s="2">
        <f t="shared" si="28"/>
        <v>0</v>
      </c>
      <c r="AP47" s="2">
        <f t="shared" si="29"/>
        <v>0</v>
      </c>
      <c r="AQ47" s="2">
        <f t="shared" si="30"/>
        <v>0</v>
      </c>
      <c r="AR47" s="2">
        <f t="shared" si="31"/>
        <v>0</v>
      </c>
      <c r="AS47" s="2">
        <f t="shared" si="32"/>
        <v>0</v>
      </c>
      <c r="AT47" s="2">
        <f t="shared" si="33"/>
        <v>0</v>
      </c>
      <c r="AU47" s="2">
        <f t="shared" si="48"/>
        <v>120</v>
      </c>
      <c r="AV47" s="2">
        <f t="shared" si="76"/>
        <v>0</v>
      </c>
      <c r="AW47" s="2">
        <f t="shared" si="77"/>
        <v>0</v>
      </c>
      <c r="AX47" s="2">
        <f t="shared" si="78"/>
        <v>1078.4701835748792</v>
      </c>
      <c r="AY47" s="2">
        <f t="shared" si="79"/>
        <v>120</v>
      </c>
      <c r="AZ47" s="19"/>
      <c r="BA47" s="2">
        <f t="shared" si="80"/>
        <v>2195.8526984830046</v>
      </c>
      <c r="BB47" s="2">
        <f t="shared" si="81"/>
        <v>1225.8070443798788</v>
      </c>
      <c r="BC47" s="4">
        <f t="shared" si="69"/>
        <v>396.7703888888889</v>
      </c>
      <c r="BD47" s="11">
        <f t="shared" si="64"/>
        <v>31.120964801215905</v>
      </c>
      <c r="BE47" s="3">
        <f aca="true" t="shared" si="86" ref="BE47:BE73">L47+M47</f>
        <v>800</v>
      </c>
      <c r="BF47" s="34">
        <f aca="true" t="shared" si="87" ref="BF47:BF73">BE47*$CN$39/10^8/(1+$H$5)^(A47-$C$2+1)</f>
        <v>70.59213365072434</v>
      </c>
      <c r="BG47" s="3">
        <f t="shared" si="82"/>
        <v>0</v>
      </c>
      <c r="BH47" s="34">
        <f t="shared" si="65"/>
        <v>0</v>
      </c>
      <c r="BI47" s="3">
        <f t="shared" si="49"/>
        <v>800</v>
      </c>
      <c r="BJ47" s="3">
        <f t="shared" si="34"/>
        <v>992.2116563129587</v>
      </c>
      <c r="BK47" s="3">
        <f t="shared" si="50"/>
        <v>800</v>
      </c>
      <c r="BL47" s="3">
        <f t="shared" si="35"/>
        <v>105.8882004760865</v>
      </c>
      <c r="BM47" s="3">
        <f t="shared" si="51"/>
        <v>120</v>
      </c>
      <c r="BN47" s="3">
        <f t="shared" si="36"/>
        <v>152.36135512948002</v>
      </c>
      <c r="BO47" s="3">
        <f t="shared" si="37"/>
        <v>800</v>
      </c>
      <c r="BP47" s="3">
        <f t="shared" si="38"/>
        <v>64.36938822139334</v>
      </c>
      <c r="BQ47" s="3">
        <f t="shared" si="52"/>
        <v>800</v>
      </c>
      <c r="BR47" s="3">
        <f t="shared" si="53"/>
        <v>0</v>
      </c>
      <c r="BS47" s="3">
        <f t="shared" si="39"/>
        <v>5.3284167863147065</v>
      </c>
      <c r="BT47" s="3">
        <f t="shared" si="83"/>
        <v>273.96960092990025</v>
      </c>
      <c r="BU47" s="3">
        <f t="shared" si="54"/>
        <v>800</v>
      </c>
      <c r="BV47" s="3">
        <f t="shared" si="40"/>
        <v>49.022315035225226</v>
      </c>
      <c r="BW47" s="3">
        <f t="shared" si="55"/>
        <v>800</v>
      </c>
      <c r="BX47" s="3">
        <f t="shared" si="41"/>
        <v>43.20230907806701</v>
      </c>
      <c r="BY47" s="3">
        <f t="shared" si="56"/>
        <v>800</v>
      </c>
      <c r="BZ47" s="3">
        <f t="shared" si="57"/>
        <v>0</v>
      </c>
      <c r="CA47" s="3">
        <f t="shared" si="42"/>
        <v>69.32302531225913</v>
      </c>
      <c r="CB47" s="3">
        <f t="shared" si="58"/>
        <v>800</v>
      </c>
      <c r="CC47" s="3">
        <f t="shared" si="59"/>
        <v>0</v>
      </c>
      <c r="CD47" s="3">
        <f t="shared" si="43"/>
        <v>34.14150026650658</v>
      </c>
      <c r="CE47" s="3">
        <f t="shared" si="70"/>
        <v>396.7703888888889</v>
      </c>
      <c r="CF47" s="3">
        <f t="shared" si="66"/>
        <v>71.83087649196217</v>
      </c>
      <c r="CG47" s="34">
        <f t="shared" si="44"/>
        <v>0</v>
      </c>
      <c r="CH47" s="34">
        <f t="shared" si="45"/>
        <v>0</v>
      </c>
      <c r="CK47" s="3" t="s">
        <v>32</v>
      </c>
      <c r="CL47" s="3"/>
      <c r="CN47" s="63">
        <f>IF($H$5=0,CL22*10^4,IF($H$5=0.01,CM22*10^4,IF($H$5=0.02,CN22*10^4,IF($H$5=0.03,CO22*10^4,IF($H$5=0.04,CP22*10^4,0)))))</f>
        <v>29000000</v>
      </c>
      <c r="CO47" s="15"/>
    </row>
    <row r="48" spans="1:93" ht="14.25">
      <c r="A48" s="1">
        <f t="shared" si="73"/>
        <v>2036</v>
      </c>
      <c r="B48" s="47">
        <v>4367.387754</v>
      </c>
      <c r="C48" s="2">
        <f t="shared" si="71"/>
        <v>120</v>
      </c>
      <c r="F48" s="2">
        <f t="shared" si="10"/>
        <v>120</v>
      </c>
      <c r="G48" s="14">
        <f t="shared" si="74"/>
        <v>1065.4717536231888</v>
      </c>
      <c r="H48" s="14">
        <f t="shared" si="75"/>
        <v>1185.4717536231888</v>
      </c>
      <c r="I48" s="7"/>
      <c r="J48" s="2"/>
      <c r="K48" s="2"/>
      <c r="L48" s="2"/>
      <c r="M48" s="3">
        <f t="shared" si="84"/>
        <v>800</v>
      </c>
      <c r="N48" s="3">
        <f t="shared" si="85"/>
        <v>800</v>
      </c>
      <c r="O48" s="2">
        <f t="shared" si="67"/>
        <v>800</v>
      </c>
      <c r="P48" s="14">
        <f t="shared" si="60"/>
        <v>120</v>
      </c>
      <c r="Q48" s="14">
        <f t="shared" si="61"/>
        <v>0</v>
      </c>
      <c r="R48" s="14">
        <f t="shared" si="62"/>
        <v>0</v>
      </c>
      <c r="S48" s="14">
        <f t="shared" si="63"/>
        <v>267.5715</v>
      </c>
      <c r="T48" s="14">
        <f t="shared" si="68"/>
        <v>387.5715</v>
      </c>
      <c r="Z48" s="1">
        <f t="shared" si="15"/>
        <v>800</v>
      </c>
      <c r="AA48" s="1">
        <f t="shared" si="16"/>
        <v>0</v>
      </c>
      <c r="AB48" s="15">
        <f t="shared" si="17"/>
        <v>800</v>
      </c>
      <c r="AC48" s="2">
        <f t="shared" si="18"/>
        <v>0</v>
      </c>
      <c r="AD48" s="2">
        <f t="shared" si="19"/>
        <v>0</v>
      </c>
      <c r="AE48" s="2">
        <f t="shared" si="20"/>
        <v>0</v>
      </c>
      <c r="AF48" s="2">
        <f t="shared" si="21"/>
        <v>0</v>
      </c>
      <c r="AG48" s="2">
        <f t="shared" si="22"/>
        <v>0</v>
      </c>
      <c r="AH48" s="2">
        <f t="shared" si="23"/>
        <v>0</v>
      </c>
      <c r="AI48" s="2">
        <f t="shared" si="46"/>
        <v>0</v>
      </c>
      <c r="AJ48" s="2">
        <f t="shared" si="24"/>
        <v>800</v>
      </c>
      <c r="AK48" s="2">
        <f t="shared" si="25"/>
        <v>0</v>
      </c>
      <c r="AL48" s="2">
        <f t="shared" si="47"/>
        <v>800</v>
      </c>
      <c r="AM48" s="2">
        <f t="shared" si="26"/>
        <v>120</v>
      </c>
      <c r="AN48" s="2">
        <f t="shared" si="27"/>
        <v>0</v>
      </c>
      <c r="AO48" s="2">
        <f t="shared" si="28"/>
        <v>0</v>
      </c>
      <c r="AP48" s="2">
        <f t="shared" si="29"/>
        <v>0</v>
      </c>
      <c r="AQ48" s="2">
        <f t="shared" si="30"/>
        <v>0</v>
      </c>
      <c r="AR48" s="2">
        <f t="shared" si="31"/>
        <v>0</v>
      </c>
      <c r="AS48" s="2">
        <f t="shared" si="32"/>
        <v>0</v>
      </c>
      <c r="AT48" s="2">
        <f t="shared" si="33"/>
        <v>0</v>
      </c>
      <c r="AU48" s="2">
        <f t="shared" si="48"/>
        <v>120</v>
      </c>
      <c r="AV48" s="2">
        <f t="shared" si="76"/>
        <v>0</v>
      </c>
      <c r="AW48" s="2">
        <f t="shared" si="77"/>
        <v>0</v>
      </c>
      <c r="AX48" s="2">
        <f t="shared" si="78"/>
        <v>1065.4717536231888</v>
      </c>
      <c r="AY48" s="2">
        <f t="shared" si="79"/>
        <v>120</v>
      </c>
      <c r="AZ48" s="19"/>
      <c r="BA48" s="2">
        <f t="shared" si="80"/>
        <v>2129.185162650124</v>
      </c>
      <c r="BB48" s="2">
        <f t="shared" si="81"/>
        <v>1187.2870725029345</v>
      </c>
      <c r="BC48" s="4">
        <f t="shared" si="69"/>
        <v>387.5715</v>
      </c>
      <c r="BD48" s="11">
        <f t="shared" si="64"/>
        <v>29.803375955568303</v>
      </c>
      <c r="BE48" s="3">
        <f t="shared" si="86"/>
        <v>800</v>
      </c>
      <c r="BF48" s="34">
        <f t="shared" si="87"/>
        <v>69.20797416737679</v>
      </c>
      <c r="BG48" s="3">
        <f t="shared" si="82"/>
        <v>0</v>
      </c>
      <c r="BH48" s="34">
        <f t="shared" si="65"/>
        <v>0</v>
      </c>
      <c r="BI48" s="3">
        <f t="shared" si="49"/>
        <v>800</v>
      </c>
      <c r="BJ48" s="3">
        <f t="shared" si="34"/>
        <v>972.7565257970181</v>
      </c>
      <c r="BK48" s="3">
        <f t="shared" si="50"/>
        <v>800</v>
      </c>
      <c r="BL48" s="3">
        <f t="shared" si="35"/>
        <v>103.81196125106518</v>
      </c>
      <c r="BM48" s="3">
        <f t="shared" si="51"/>
        <v>120</v>
      </c>
      <c r="BN48" s="3">
        <f t="shared" si="36"/>
        <v>149.37387757792158</v>
      </c>
      <c r="BO48" s="3">
        <f t="shared" si="37"/>
        <v>800</v>
      </c>
      <c r="BP48" s="3">
        <f t="shared" si="38"/>
        <v>63.1072433543072</v>
      </c>
      <c r="BQ48" s="3">
        <f t="shared" si="52"/>
        <v>800</v>
      </c>
      <c r="BR48" s="3">
        <f t="shared" si="53"/>
        <v>0</v>
      </c>
      <c r="BS48" s="3">
        <f t="shared" si="39"/>
        <v>5.2239380257987325</v>
      </c>
      <c r="BT48" s="3">
        <f t="shared" si="83"/>
        <v>265.6517031948963</v>
      </c>
      <c r="BU48" s="3">
        <f t="shared" si="54"/>
        <v>800</v>
      </c>
      <c r="BV48" s="3">
        <f t="shared" si="40"/>
        <v>48.06109317178944</v>
      </c>
      <c r="BW48" s="3">
        <f t="shared" si="55"/>
        <v>800</v>
      </c>
      <c r="BX48" s="3">
        <f t="shared" si="41"/>
        <v>42.35520497849707</v>
      </c>
      <c r="BY48" s="3">
        <f t="shared" si="56"/>
        <v>800</v>
      </c>
      <c r="BZ48" s="3">
        <f t="shared" si="57"/>
        <v>0</v>
      </c>
      <c r="CA48" s="3">
        <f t="shared" si="42"/>
        <v>67.9637503061364</v>
      </c>
      <c r="CB48" s="3">
        <f t="shared" si="58"/>
        <v>800</v>
      </c>
      <c r="CC48" s="3">
        <f t="shared" si="59"/>
        <v>0</v>
      </c>
      <c r="CD48" s="3">
        <f t="shared" si="43"/>
        <v>33.47205908481038</v>
      </c>
      <c r="CE48" s="3">
        <f t="shared" si="70"/>
        <v>387.5715</v>
      </c>
      <c r="CF48" s="3">
        <f t="shared" si="66"/>
        <v>68.78972522163902</v>
      </c>
      <c r="CG48" s="34">
        <f t="shared" si="44"/>
        <v>0</v>
      </c>
      <c r="CH48" s="34">
        <f t="shared" si="45"/>
        <v>0</v>
      </c>
      <c r="CK48" s="3" t="s">
        <v>33</v>
      </c>
      <c r="CL48" s="38"/>
      <c r="CN48" s="63">
        <f>IF($H$5=0,CL23*10^4,IF($H$5=0.01,CM23*10^4,IF($H$5=0.02,CN23*10^4,IF($H$5=0.03,CO23*10^4,IF($H$5=0.04,CP23*10^4,0)))))</f>
        <v>10000000</v>
      </c>
      <c r="CO48" s="15"/>
    </row>
    <row r="49" spans="1:93" ht="14.25">
      <c r="A49" s="1">
        <f t="shared" si="73"/>
        <v>2037</v>
      </c>
      <c r="B49" s="47">
        <v>4325.214528</v>
      </c>
      <c r="C49" s="2">
        <f t="shared" si="71"/>
        <v>120</v>
      </c>
      <c r="F49" s="2">
        <f t="shared" si="10"/>
        <v>120</v>
      </c>
      <c r="G49" s="14">
        <f t="shared" si="74"/>
        <v>1054.153120772947</v>
      </c>
      <c r="H49" s="14">
        <f t="shared" si="75"/>
        <v>1174.153120772947</v>
      </c>
      <c r="I49" s="7"/>
      <c r="J49" s="2"/>
      <c r="K49" s="2"/>
      <c r="L49" s="2"/>
      <c r="M49" s="3">
        <f t="shared" si="84"/>
        <v>800</v>
      </c>
      <c r="N49" s="3">
        <f t="shared" si="85"/>
        <v>800</v>
      </c>
      <c r="O49" s="2">
        <f t="shared" si="67"/>
        <v>800</v>
      </c>
      <c r="P49" s="14">
        <f t="shared" si="60"/>
        <v>120</v>
      </c>
      <c r="Q49" s="14">
        <f t="shared" si="61"/>
        <v>0</v>
      </c>
      <c r="R49" s="14">
        <f t="shared" si="62"/>
        <v>0</v>
      </c>
      <c r="S49" s="14">
        <f t="shared" si="63"/>
        <v>257.5727077294687</v>
      </c>
      <c r="T49" s="14">
        <f t="shared" si="68"/>
        <v>377.5727077294687</v>
      </c>
      <c r="Z49" s="1">
        <f aca="true" t="shared" si="88" ref="Z49:Z75">M47</f>
        <v>800</v>
      </c>
      <c r="AA49" s="1">
        <f aca="true" t="shared" si="89" ref="AA49:AA80">IF($L$3&gt;0,X49,0)</f>
        <v>0</v>
      </c>
      <c r="AB49" s="15">
        <f aca="true" t="shared" si="90" ref="AB49:AB75">Z49+AA49</f>
        <v>800</v>
      </c>
      <c r="AC49" s="2">
        <f aca="true" t="shared" si="91" ref="AC49:AC75">I47</f>
        <v>0</v>
      </c>
      <c r="AD49" s="2">
        <f aca="true" t="shared" si="92" ref="AD49:AD80">IF($L$3&gt;0,U49,0)</f>
        <v>0</v>
      </c>
      <c r="AE49" s="2">
        <f aca="true" t="shared" si="93" ref="AE49:AE75">J47</f>
        <v>0</v>
      </c>
      <c r="AF49" s="2">
        <f aca="true" t="shared" si="94" ref="AF49:AF80">IF($L$3&gt;0,V49,0)</f>
        <v>0</v>
      </c>
      <c r="AG49" s="2">
        <f aca="true" t="shared" si="95" ref="AG49:AG75">K47</f>
        <v>0</v>
      </c>
      <c r="AH49" s="2">
        <f aca="true" t="shared" si="96" ref="AH49:AH80">IF($L$3&gt;0,W49,0)</f>
        <v>0</v>
      </c>
      <c r="AI49" s="2">
        <f t="shared" si="46"/>
        <v>0</v>
      </c>
      <c r="AJ49" s="2">
        <f aca="true" t="shared" si="97" ref="AJ49:AJ75">Z49+AC49+AE49+AG49</f>
        <v>800</v>
      </c>
      <c r="AK49" s="2">
        <f aca="true" t="shared" si="98" ref="AK49:AK75">AA49+AD49+AF49+AH49</f>
        <v>0</v>
      </c>
      <c r="AL49" s="2">
        <f t="shared" si="47"/>
        <v>800</v>
      </c>
      <c r="AM49" s="2">
        <f aca="true" t="shared" si="99" ref="AM49:AM67">Z49*$H$4</f>
        <v>120</v>
      </c>
      <c r="AN49" s="2">
        <f aca="true" t="shared" si="100" ref="AN49:AN67">AA49*$H$4</f>
        <v>0</v>
      </c>
      <c r="AO49" s="2">
        <f aca="true" t="shared" si="101" ref="AO49:AO67">AC49*$H$4</f>
        <v>0</v>
      </c>
      <c r="AP49" s="2">
        <f aca="true" t="shared" si="102" ref="AP49:AP67">AD49*$H$4</f>
        <v>0</v>
      </c>
      <c r="AQ49" s="2">
        <f aca="true" t="shared" si="103" ref="AQ49:AQ67">AE49*$H$4</f>
        <v>0</v>
      </c>
      <c r="AR49" s="2">
        <f aca="true" t="shared" si="104" ref="AR49:AR67">AF49*$H$4</f>
        <v>0</v>
      </c>
      <c r="AS49" s="2">
        <f aca="true" t="shared" si="105" ref="AS49:AS67">AG49*$H$4</f>
        <v>0</v>
      </c>
      <c r="AT49" s="2">
        <f aca="true" t="shared" si="106" ref="AT49:AT67">AH49*$H$4</f>
        <v>0</v>
      </c>
      <c r="AU49" s="2">
        <f t="shared" si="48"/>
        <v>120</v>
      </c>
      <c r="AV49" s="2">
        <f t="shared" si="76"/>
        <v>0</v>
      </c>
      <c r="AW49" s="2">
        <f t="shared" si="77"/>
        <v>0</v>
      </c>
      <c r="AX49" s="2">
        <f t="shared" si="78"/>
        <v>1054.153120772947</v>
      </c>
      <c r="AY49" s="2">
        <f t="shared" si="79"/>
        <v>120</v>
      </c>
      <c r="AZ49" s="19"/>
      <c r="BA49" s="2">
        <f t="shared" si="80"/>
        <v>2067.279320966522</v>
      </c>
      <c r="BB49" s="2">
        <f t="shared" si="81"/>
        <v>1151.6415500662883</v>
      </c>
      <c r="BC49" s="4">
        <f t="shared" si="69"/>
        <v>377.5727077294687</v>
      </c>
      <c r="BD49" s="11">
        <f t="shared" si="64"/>
        <v>28.465187584801278</v>
      </c>
      <c r="BE49" s="3">
        <f t="shared" si="86"/>
        <v>800</v>
      </c>
      <c r="BF49" s="34">
        <f t="shared" si="87"/>
        <v>67.85095506605566</v>
      </c>
      <c r="BG49" s="3">
        <f t="shared" si="82"/>
        <v>0</v>
      </c>
      <c r="BH49" s="34">
        <f t="shared" si="65"/>
        <v>0</v>
      </c>
      <c r="BI49" s="3">
        <f t="shared" si="49"/>
        <v>800</v>
      </c>
      <c r="BJ49" s="3">
        <f aca="true" t="shared" si="107" ref="BJ49:BJ80">BI49*$CN$40/((1+$H$5)^(A49-$C$2+1))/10^8*IF(A49&lt;$L$4,1,$H$6)</f>
        <v>953.6828684284491</v>
      </c>
      <c r="BK49" s="3">
        <f t="shared" si="50"/>
        <v>800</v>
      </c>
      <c r="BL49" s="3">
        <f aca="true" t="shared" si="108" ref="BL49:BL80">BK49*$CN$41/(1+$H$5)^(A49-$C$2+1)/10^8</f>
        <v>101.7764325990835</v>
      </c>
      <c r="BM49" s="3">
        <f t="shared" si="51"/>
        <v>120</v>
      </c>
      <c r="BN49" s="3">
        <f aca="true" t="shared" si="109" ref="BN49:BN67">BM49*$CN$38/(1+$H$5)^(A49-$C$2+1)/10^8</f>
        <v>146.44497801757015</v>
      </c>
      <c r="BO49" s="3">
        <f aca="true" t="shared" si="110" ref="BO49:BO75">AJ49</f>
        <v>800</v>
      </c>
      <c r="BP49" s="3">
        <f aca="true" t="shared" si="111" ref="BP49:BP75">IF($H$5&gt;0,BO49*$CN$42/(1+$H$5)^9*(1-1/(1+$H$5)^40)/(1-1/(1+$H$5))/(1+$H$5)^(A49-8-$C$2+1)/10^8,BO49*$CN$42*40/10^8)</f>
        <v>61.869846425791366</v>
      </c>
      <c r="BQ49" s="3">
        <f t="shared" si="52"/>
        <v>800</v>
      </c>
      <c r="BR49" s="3">
        <f t="shared" si="53"/>
        <v>0</v>
      </c>
      <c r="BS49" s="3">
        <f aca="true" t="shared" si="112" ref="BS49:BS80">BQ49*$CN$43/(1+$H$5)^48/(1+$H$5)^(A49-8-$C$2+1)/10^8+BR49*$CN$43/(1+$H$5)^(A49-$C$2+1)/10^8</f>
        <v>5.12150786843013</v>
      </c>
      <c r="BT49" s="3">
        <f t="shared" si="83"/>
        <v>257.92790698898364</v>
      </c>
      <c r="BU49" s="3">
        <f t="shared" si="54"/>
        <v>800</v>
      </c>
      <c r="BV49" s="3">
        <f aca="true" t="shared" si="113" ref="BV49:BV80">BU49*$CN$45/(1+$H$5)^(A49-$C$2+1)/10^8</f>
        <v>47.11871879587199</v>
      </c>
      <c r="BW49" s="3">
        <f aca="true" t="shared" si="114" ref="BW49:BW75">AJ49</f>
        <v>800</v>
      </c>
      <c r="BX49" s="3">
        <f aca="true" t="shared" si="115" ref="BX49:BX75">IF($H$5&gt;0,BW49*$CN$46/(1+$H$5)^9*(1-1/(1+$H$5)^12)/(1-1/(1+$H$5))/(1+$H$5)^(A49-8-$C$2+1)/10^8,BW49*$CN$46*12/10^8)</f>
        <v>41.52471076323242</v>
      </c>
      <c r="BY49" s="3">
        <f t="shared" si="56"/>
        <v>800</v>
      </c>
      <c r="BZ49" s="3">
        <f t="shared" si="57"/>
        <v>0</v>
      </c>
      <c r="CA49" s="3">
        <f aca="true" t="shared" si="116" ref="CA49:CA80">BY49*$CN$47/(1+$H$5)^33/(1+$H$5)^(A49-8-$C$2+1)/10^8+BZ49*$CN$47/(1+$H$5)^(A49-$C$2+1)/10^8</f>
        <v>66.63112775111412</v>
      </c>
      <c r="CB49" s="3">
        <f t="shared" si="58"/>
        <v>800</v>
      </c>
      <c r="CC49" s="3">
        <f t="shared" si="59"/>
        <v>0</v>
      </c>
      <c r="CD49" s="3">
        <f aca="true" t="shared" si="117" ref="CD49:CD80">CB49*$CN$48/(1+$H$5)^15/(1+$H$5)^(A49-8-$C$2+1)/10^8+CC49*$CN$48/(1+$H$5)^(A49-$C$2+1)/10^8</f>
        <v>32.81574420079449</v>
      </c>
      <c r="CE49" s="3">
        <f t="shared" si="70"/>
        <v>377.5727077294687</v>
      </c>
      <c r="CF49" s="3">
        <f t="shared" si="66"/>
        <v>65.70102780504122</v>
      </c>
      <c r="CG49" s="34">
        <f aca="true" t="shared" si="118" ref="CG49:CG80">IF($L$3&gt;0,0,X49*$CN$51/(1+$H$5)^(A49+1-$C$2+1)/10^8)</f>
        <v>0</v>
      </c>
      <c r="CH49" s="34">
        <f aca="true" t="shared" si="119" ref="CH49:CH80">IF($L$3&gt;0,0,(U49+V49+W49)*$CN$51*$L$5/(1+$H$5)^(A49+1-$C$2+1)/10^8)</f>
        <v>0</v>
      </c>
      <c r="CK49" s="2" t="s">
        <v>21</v>
      </c>
      <c r="CM49" s="4"/>
      <c r="CN49" s="63">
        <f>IF($H$5=0,CL16*10^4,IF($H$5=0.01,CM16*10^4,IF($H$5=0.02,CN16*10^4,IF($H$5=0.03,CO16*10^4,IF($H$5=0.04,CP16*10^4,0)))))</f>
        <v>16000000</v>
      </c>
      <c r="CO49" s="15"/>
    </row>
    <row r="50" spans="1:93" ht="14.25">
      <c r="A50" s="1">
        <f t="shared" si="73"/>
        <v>2038</v>
      </c>
      <c r="B50" s="47">
        <v>4399.12944</v>
      </c>
      <c r="C50" s="2">
        <f t="shared" si="71"/>
        <v>120</v>
      </c>
      <c r="F50" s="2">
        <f t="shared" si="10"/>
        <v>120</v>
      </c>
      <c r="G50" s="14">
        <f t="shared" si="74"/>
        <v>1073.990724637681</v>
      </c>
      <c r="H50" s="14">
        <f t="shared" si="75"/>
        <v>1193.990724637681</v>
      </c>
      <c r="I50" s="2"/>
      <c r="J50" s="2"/>
      <c r="K50" s="2"/>
      <c r="L50" s="2"/>
      <c r="M50" s="3">
        <f t="shared" si="84"/>
        <v>800</v>
      </c>
      <c r="N50" s="3">
        <f t="shared" si="85"/>
        <v>800</v>
      </c>
      <c r="O50" s="2">
        <f t="shared" si="67"/>
        <v>800</v>
      </c>
      <c r="P50" s="14">
        <f t="shared" si="60"/>
        <v>120</v>
      </c>
      <c r="Q50" s="14">
        <f t="shared" si="61"/>
        <v>0</v>
      </c>
      <c r="R50" s="14">
        <f t="shared" si="62"/>
        <v>0</v>
      </c>
      <c r="S50" s="14">
        <f t="shared" si="63"/>
        <v>257.5727077294687</v>
      </c>
      <c r="T50" s="14">
        <f t="shared" si="68"/>
        <v>377.5727077294687</v>
      </c>
      <c r="Z50" s="1">
        <f t="shared" si="88"/>
        <v>800</v>
      </c>
      <c r="AA50" s="1">
        <f t="shared" si="89"/>
        <v>0</v>
      </c>
      <c r="AB50" s="15">
        <f t="shared" si="90"/>
        <v>800</v>
      </c>
      <c r="AC50" s="2">
        <f t="shared" si="91"/>
        <v>0</v>
      </c>
      <c r="AD50" s="2">
        <f t="shared" si="92"/>
        <v>0</v>
      </c>
      <c r="AE50" s="2">
        <f t="shared" si="93"/>
        <v>0</v>
      </c>
      <c r="AF50" s="2">
        <f t="shared" si="94"/>
        <v>0</v>
      </c>
      <c r="AG50" s="2">
        <f t="shared" si="95"/>
        <v>0</v>
      </c>
      <c r="AH50" s="2">
        <f t="shared" si="96"/>
        <v>0</v>
      </c>
      <c r="AI50" s="2">
        <f t="shared" si="46"/>
        <v>0</v>
      </c>
      <c r="AJ50" s="2">
        <f t="shared" si="97"/>
        <v>800</v>
      </c>
      <c r="AK50" s="2">
        <f t="shared" si="98"/>
        <v>0</v>
      </c>
      <c r="AL50" s="2">
        <f t="shared" si="47"/>
        <v>800</v>
      </c>
      <c r="AM50" s="2">
        <f t="shared" si="99"/>
        <v>120</v>
      </c>
      <c r="AN50" s="2">
        <f t="shared" si="100"/>
        <v>0</v>
      </c>
      <c r="AO50" s="2">
        <f t="shared" si="101"/>
        <v>0</v>
      </c>
      <c r="AP50" s="2">
        <f t="shared" si="102"/>
        <v>0</v>
      </c>
      <c r="AQ50" s="2">
        <f t="shared" si="103"/>
        <v>0</v>
      </c>
      <c r="AR50" s="2">
        <f t="shared" si="104"/>
        <v>0</v>
      </c>
      <c r="AS50" s="2">
        <f t="shared" si="105"/>
        <v>0</v>
      </c>
      <c r="AT50" s="2">
        <f t="shared" si="106"/>
        <v>0</v>
      </c>
      <c r="AU50" s="2">
        <f t="shared" si="48"/>
        <v>120</v>
      </c>
      <c r="AV50" s="2">
        <f t="shared" si="76"/>
        <v>0</v>
      </c>
      <c r="AW50" s="2">
        <f t="shared" si="77"/>
        <v>0</v>
      </c>
      <c r="AX50" s="2">
        <f t="shared" si="78"/>
        <v>1073.990724637681</v>
      </c>
      <c r="AY50" s="2">
        <f t="shared" si="79"/>
        <v>120</v>
      </c>
      <c r="AZ50" s="19"/>
      <c r="BA50" s="2">
        <f t="shared" si="80"/>
        <v>2061.3800868967037</v>
      </c>
      <c r="BB50" s="2">
        <f t="shared" si="81"/>
        <v>1150.3075902923094</v>
      </c>
      <c r="BC50" s="4">
        <f t="shared" si="69"/>
        <v>377.5727077294687</v>
      </c>
      <c r="BD50" s="11">
        <f t="shared" si="64"/>
        <v>27.90704665176597</v>
      </c>
      <c r="BE50" s="3">
        <f t="shared" si="86"/>
        <v>800</v>
      </c>
      <c r="BF50" s="34">
        <f t="shared" si="87"/>
        <v>66.52054418240755</v>
      </c>
      <c r="BG50" s="3">
        <f t="shared" si="82"/>
        <v>0</v>
      </c>
      <c r="BH50" s="34">
        <f t="shared" si="65"/>
        <v>0</v>
      </c>
      <c r="BI50" s="3">
        <f t="shared" si="49"/>
        <v>800</v>
      </c>
      <c r="BJ50" s="3">
        <f t="shared" si="107"/>
        <v>934.9832043416171</v>
      </c>
      <c r="BK50" s="3">
        <f t="shared" si="50"/>
        <v>800</v>
      </c>
      <c r="BL50" s="3">
        <f t="shared" si="108"/>
        <v>99.78081627361132</v>
      </c>
      <c r="BM50" s="3">
        <f t="shared" si="51"/>
        <v>120</v>
      </c>
      <c r="BN50" s="3">
        <f t="shared" si="109"/>
        <v>143.57350786036295</v>
      </c>
      <c r="BO50" s="3">
        <f t="shared" si="110"/>
        <v>800</v>
      </c>
      <c r="BP50" s="3">
        <f t="shared" si="111"/>
        <v>60.65671218214842</v>
      </c>
      <c r="BQ50" s="3">
        <f aca="true" t="shared" si="120" ref="BQ50:BQ75">AJ50</f>
        <v>800</v>
      </c>
      <c r="BR50" s="3">
        <f t="shared" si="53"/>
        <v>0</v>
      </c>
      <c r="BS50" s="3">
        <f t="shared" si="112"/>
        <v>5.021086145519736</v>
      </c>
      <c r="BT50" s="3">
        <f t="shared" si="83"/>
        <v>257.19187819934</v>
      </c>
      <c r="BU50" s="3">
        <f t="shared" si="54"/>
        <v>800</v>
      </c>
      <c r="BV50" s="3">
        <f t="shared" si="113"/>
        <v>46.19482234889413</v>
      </c>
      <c r="BW50" s="3">
        <f t="shared" si="114"/>
        <v>800</v>
      </c>
      <c r="BX50" s="3">
        <f t="shared" si="115"/>
        <v>40.71050074826709</v>
      </c>
      <c r="BY50" s="3">
        <f aca="true" t="shared" si="121" ref="BY50:BY75">AJ50</f>
        <v>800</v>
      </c>
      <c r="BZ50" s="3">
        <f t="shared" si="57"/>
        <v>0</v>
      </c>
      <c r="CA50" s="3">
        <f t="shared" si="116"/>
        <v>65.32463505011191</v>
      </c>
      <c r="CB50" s="3">
        <f aca="true" t="shared" si="122" ref="CB50:CB75">AJ50</f>
        <v>800</v>
      </c>
      <c r="CC50" s="3">
        <f t="shared" si="59"/>
        <v>0</v>
      </c>
      <c r="CD50" s="3">
        <f t="shared" si="117"/>
        <v>32.17229823607303</v>
      </c>
      <c r="CE50" s="3">
        <f t="shared" si="70"/>
        <v>377.5727077294687</v>
      </c>
      <c r="CF50" s="3">
        <f t="shared" si="66"/>
        <v>64.41277235788358</v>
      </c>
      <c r="CG50" s="34">
        <f t="shared" si="118"/>
        <v>0</v>
      </c>
      <c r="CH50" s="34">
        <f t="shared" si="119"/>
        <v>0</v>
      </c>
      <c r="CK50" s="3" t="s">
        <v>43</v>
      </c>
      <c r="CL50" s="3"/>
      <c r="CN50" s="63">
        <f>IF($H$5=0,CL24*10^4/40,IF($H$5=0.01,CM24*10^4/40,IF($H$5=0.02,CN24*10^4/40,IF($H$5=0.03,CO24*10^4/40,IF($H$5=0.04,CP24*10^4/40,0)))))</f>
        <v>1350000</v>
      </c>
      <c r="CO50" s="15"/>
    </row>
    <row r="51" spans="1:93" ht="14.25">
      <c r="A51" s="1">
        <f t="shared" si="73"/>
        <v>2039</v>
      </c>
      <c r="B51" s="47">
        <v>4365.59949</v>
      </c>
      <c r="C51" s="2">
        <f t="shared" si="71"/>
        <v>120</v>
      </c>
      <c r="F51" s="2">
        <f t="shared" si="10"/>
        <v>120</v>
      </c>
      <c r="G51" s="14">
        <f t="shared" si="74"/>
        <v>1064.991811594203</v>
      </c>
      <c r="H51" s="14">
        <f t="shared" si="75"/>
        <v>1184.991811594203</v>
      </c>
      <c r="I51" s="2"/>
      <c r="J51" s="2"/>
      <c r="K51" s="2"/>
      <c r="L51" s="2"/>
      <c r="M51" s="3">
        <f t="shared" si="84"/>
        <v>800</v>
      </c>
      <c r="N51" s="3">
        <f t="shared" si="85"/>
        <v>800</v>
      </c>
      <c r="O51" s="2">
        <f t="shared" si="67"/>
        <v>800</v>
      </c>
      <c r="P51" s="14">
        <f aca="true" t="shared" si="123" ref="P51:P77">C46-I47</f>
        <v>120</v>
      </c>
      <c r="Q51" s="14">
        <f aca="true" t="shared" si="124" ref="Q51:Q77">D46-J47</f>
        <v>0</v>
      </c>
      <c r="R51" s="14">
        <f aca="true" t="shared" si="125" ref="R51:R77">E46-K47</f>
        <v>0</v>
      </c>
      <c r="S51" s="14">
        <f aca="true" t="shared" si="126" ref="S51:S77">G46-M47</f>
        <v>276.17046135265696</v>
      </c>
      <c r="T51" s="14">
        <f t="shared" si="68"/>
        <v>396.17046135265696</v>
      </c>
      <c r="Z51" s="1">
        <f t="shared" si="88"/>
        <v>800</v>
      </c>
      <c r="AA51" s="1">
        <f t="shared" si="89"/>
        <v>0</v>
      </c>
      <c r="AB51" s="15">
        <f t="shared" si="90"/>
        <v>800</v>
      </c>
      <c r="AC51" s="2">
        <f t="shared" si="91"/>
        <v>0</v>
      </c>
      <c r="AD51" s="2">
        <f t="shared" si="92"/>
        <v>0</v>
      </c>
      <c r="AE51" s="2">
        <f t="shared" si="93"/>
        <v>0</v>
      </c>
      <c r="AF51" s="2">
        <f t="shared" si="94"/>
        <v>0</v>
      </c>
      <c r="AG51" s="2">
        <f t="shared" si="95"/>
        <v>0</v>
      </c>
      <c r="AH51" s="2">
        <f t="shared" si="96"/>
        <v>0</v>
      </c>
      <c r="AI51" s="2">
        <f t="shared" si="46"/>
        <v>0</v>
      </c>
      <c r="AJ51" s="2">
        <f t="shared" si="97"/>
        <v>800</v>
      </c>
      <c r="AK51" s="2">
        <f t="shared" si="98"/>
        <v>0</v>
      </c>
      <c r="AL51" s="2">
        <f t="shared" si="47"/>
        <v>800</v>
      </c>
      <c r="AM51" s="2">
        <f t="shared" si="99"/>
        <v>120</v>
      </c>
      <c r="AN51" s="2">
        <f t="shared" si="100"/>
        <v>0</v>
      </c>
      <c r="AO51" s="2">
        <f t="shared" si="101"/>
        <v>0</v>
      </c>
      <c r="AP51" s="2">
        <f t="shared" si="102"/>
        <v>0</v>
      </c>
      <c r="AQ51" s="2">
        <f t="shared" si="103"/>
        <v>0</v>
      </c>
      <c r="AR51" s="2">
        <f t="shared" si="104"/>
        <v>0</v>
      </c>
      <c r="AS51" s="2">
        <f t="shared" si="105"/>
        <v>0</v>
      </c>
      <c r="AT51" s="2">
        <f t="shared" si="106"/>
        <v>0</v>
      </c>
      <c r="AU51" s="2">
        <f t="shared" si="48"/>
        <v>120</v>
      </c>
      <c r="AV51" s="2">
        <f t="shared" si="76"/>
        <v>0</v>
      </c>
      <c r="AW51" s="2">
        <f t="shared" si="77"/>
        <v>0</v>
      </c>
      <c r="AX51" s="2">
        <f t="shared" si="78"/>
        <v>1064.991811594203</v>
      </c>
      <c r="AY51" s="2">
        <f t="shared" si="79"/>
        <v>120</v>
      </c>
      <c r="AZ51" s="19"/>
      <c r="BA51" s="2">
        <f t="shared" si="80"/>
        <v>2005.5572043426505</v>
      </c>
      <c r="BB51" s="2">
        <f t="shared" si="81"/>
        <v>1118.303158977152</v>
      </c>
      <c r="BC51" s="4">
        <f t="shared" si="69"/>
        <v>396.17046135265696</v>
      </c>
      <c r="BD51" s="11">
        <f aca="true" t="shared" si="127" ref="BD51:BD77">BC51*$CN$49/10^8/(1+$H$5)^(A51-$C$2+1)</f>
        <v>28.707488756181036</v>
      </c>
      <c r="BE51" s="3">
        <f t="shared" si="86"/>
        <v>800</v>
      </c>
      <c r="BF51" s="34">
        <f t="shared" si="87"/>
        <v>65.21621978667405</v>
      </c>
      <c r="BG51" s="3">
        <f t="shared" si="82"/>
        <v>0</v>
      </c>
      <c r="BH51" s="34">
        <f aca="true" t="shared" si="128" ref="BH51:BH82">BG51*$CN$49/10^8/(1+$H$5)^(A51-$C$2+1)</f>
        <v>0</v>
      </c>
      <c r="BI51" s="3">
        <f t="shared" si="49"/>
        <v>800</v>
      </c>
      <c r="BJ51" s="3">
        <f t="shared" si="107"/>
        <v>916.6502003349185</v>
      </c>
      <c r="BK51" s="3">
        <f t="shared" si="50"/>
        <v>800</v>
      </c>
      <c r="BL51" s="3">
        <f t="shared" si="108"/>
        <v>97.82432968001106</v>
      </c>
      <c r="BM51" s="3">
        <f t="shared" si="51"/>
        <v>120</v>
      </c>
      <c r="BN51" s="3">
        <f t="shared" si="109"/>
        <v>140.75834103957146</v>
      </c>
      <c r="BO51" s="3">
        <f t="shared" si="110"/>
        <v>800</v>
      </c>
      <c r="BP51" s="3">
        <f t="shared" si="111"/>
        <v>59.46736488445922</v>
      </c>
      <c r="BQ51" s="3">
        <f t="shared" si="120"/>
        <v>800</v>
      </c>
      <c r="BR51" s="3">
        <f t="shared" si="53"/>
        <v>0</v>
      </c>
      <c r="BS51" s="3">
        <f t="shared" si="112"/>
        <v>4.92263347599974</v>
      </c>
      <c r="BT51" s="3">
        <f t="shared" si="83"/>
        <v>250.2270335780882</v>
      </c>
      <c r="BU51" s="3">
        <f t="shared" si="54"/>
        <v>800</v>
      </c>
      <c r="BV51" s="3">
        <f t="shared" si="113"/>
        <v>45.289041518523646</v>
      </c>
      <c r="BW51" s="3">
        <f t="shared" si="114"/>
        <v>800</v>
      </c>
      <c r="BX51" s="3">
        <f t="shared" si="115"/>
        <v>39.91225563555596</v>
      </c>
      <c r="BY51" s="3">
        <f t="shared" si="121"/>
        <v>800</v>
      </c>
      <c r="BZ51" s="3">
        <f t="shared" si="57"/>
        <v>0</v>
      </c>
      <c r="CA51" s="3">
        <f t="shared" si="116"/>
        <v>64.04375985305087</v>
      </c>
      <c r="CB51" s="3">
        <f t="shared" si="122"/>
        <v>800</v>
      </c>
      <c r="CC51" s="3">
        <f t="shared" si="59"/>
        <v>0</v>
      </c>
      <c r="CD51" s="3">
        <f t="shared" si="117"/>
        <v>31.54146885889513</v>
      </c>
      <c r="CE51" s="3">
        <f t="shared" si="70"/>
        <v>396.17046135265696</v>
      </c>
      <c r="CF51" s="3">
        <f aca="true" t="shared" si="129" ref="CF51:CF77">IF($L$3&gt;0,IF($H$5&gt;0,CE51*$CN$50/(1+$H$5)*(1-1/(1+$H$5)^40)/(1-1/(1+$H$5))/(1+$H$5)^(A51-$C$2+1)/10^8,CE51*$CN$50*40/10^8),IF($H$5&gt;0,CE51*$CN$50/(1+$H$5)*(1-1/(1+$H$5)^48)/(1-1/(1+$H$5))/(1+$H$5)^(A51-$C$2+1)/10^8,CE51*$CN$50*48/10^8))</f>
        <v>66.26028763603968</v>
      </c>
      <c r="CG51" s="34">
        <f t="shared" si="118"/>
        <v>0</v>
      </c>
      <c r="CH51" s="34">
        <f t="shared" si="119"/>
        <v>0</v>
      </c>
      <c r="CK51" s="3" t="s">
        <v>97</v>
      </c>
      <c r="CL51" s="3"/>
      <c r="CN51" s="63">
        <f>IF($H$5=0,CL27*10^4,IF($H$5=0.01,CM27*10^4,IF($H$5=0.02,CN27*10^4,IF($H$5=0.03,CO27*10^4,IF($H$5=0.04,CP27*10^4,0)))))</f>
        <v>220000000</v>
      </c>
      <c r="CO51" s="15"/>
    </row>
    <row r="52" spans="1:93" ht="14.25">
      <c r="A52" s="1">
        <f t="shared" si="73"/>
        <v>2040</v>
      </c>
      <c r="B52" s="47">
        <v>4365.59949</v>
      </c>
      <c r="C52" s="2">
        <f t="shared" si="71"/>
        <v>120</v>
      </c>
      <c r="F52" s="2">
        <f t="shared" si="10"/>
        <v>120</v>
      </c>
      <c r="G52" s="14">
        <f t="shared" si="74"/>
        <v>1064.991811594203</v>
      </c>
      <c r="H52" s="14">
        <f t="shared" si="75"/>
        <v>1184.991811594203</v>
      </c>
      <c r="I52" s="2"/>
      <c r="J52" s="2"/>
      <c r="K52" s="2"/>
      <c r="L52" s="2"/>
      <c r="M52" s="3">
        <f t="shared" si="84"/>
        <v>800</v>
      </c>
      <c r="N52" s="3">
        <f t="shared" si="85"/>
        <v>800</v>
      </c>
      <c r="O52" s="2">
        <f t="shared" si="67"/>
        <v>800</v>
      </c>
      <c r="P52" s="14">
        <f t="shared" si="123"/>
        <v>120</v>
      </c>
      <c r="Q52" s="14">
        <f t="shared" si="124"/>
        <v>0</v>
      </c>
      <c r="R52" s="14">
        <f t="shared" si="125"/>
        <v>0</v>
      </c>
      <c r="S52" s="14">
        <f t="shared" si="126"/>
        <v>278.47018357487923</v>
      </c>
      <c r="T52" s="14">
        <f t="shared" si="68"/>
        <v>398.47018357487923</v>
      </c>
      <c r="Z52" s="1">
        <f t="shared" si="88"/>
        <v>800</v>
      </c>
      <c r="AA52" s="1">
        <f t="shared" si="89"/>
        <v>0</v>
      </c>
      <c r="AB52" s="15">
        <f t="shared" si="90"/>
        <v>800</v>
      </c>
      <c r="AC52" s="2">
        <f t="shared" si="91"/>
        <v>0</v>
      </c>
      <c r="AD52" s="2">
        <f t="shared" si="92"/>
        <v>0</v>
      </c>
      <c r="AE52" s="2">
        <f t="shared" si="93"/>
        <v>0</v>
      </c>
      <c r="AF52" s="2">
        <f t="shared" si="94"/>
        <v>0</v>
      </c>
      <c r="AG52" s="2">
        <f t="shared" si="95"/>
        <v>0</v>
      </c>
      <c r="AH52" s="2">
        <f t="shared" si="96"/>
        <v>0</v>
      </c>
      <c r="AI52" s="2">
        <f t="shared" si="46"/>
        <v>0</v>
      </c>
      <c r="AJ52" s="2">
        <f t="shared" si="97"/>
        <v>800</v>
      </c>
      <c r="AK52" s="2">
        <f t="shared" si="98"/>
        <v>0</v>
      </c>
      <c r="AL52" s="2">
        <f t="shared" si="47"/>
        <v>800</v>
      </c>
      <c r="AM52" s="2">
        <f t="shared" si="99"/>
        <v>120</v>
      </c>
      <c r="AN52" s="2">
        <f t="shared" si="100"/>
        <v>0</v>
      </c>
      <c r="AO52" s="2">
        <f t="shared" si="101"/>
        <v>0</v>
      </c>
      <c r="AP52" s="2">
        <f t="shared" si="102"/>
        <v>0</v>
      </c>
      <c r="AQ52" s="2">
        <f t="shared" si="103"/>
        <v>0</v>
      </c>
      <c r="AR52" s="2">
        <f t="shared" si="104"/>
        <v>0</v>
      </c>
      <c r="AS52" s="2">
        <f t="shared" si="105"/>
        <v>0</v>
      </c>
      <c r="AT52" s="2">
        <f t="shared" si="106"/>
        <v>0</v>
      </c>
      <c r="AU52" s="2">
        <f t="shared" si="48"/>
        <v>120</v>
      </c>
      <c r="AV52" s="2">
        <f t="shared" si="76"/>
        <v>0</v>
      </c>
      <c r="AW52" s="2">
        <f t="shared" si="77"/>
        <v>0</v>
      </c>
      <c r="AX52" s="2">
        <f t="shared" si="78"/>
        <v>1064.991811594203</v>
      </c>
      <c r="AY52" s="2">
        <f t="shared" si="79"/>
        <v>120</v>
      </c>
      <c r="AZ52" s="19"/>
      <c r="BA52" s="2">
        <f t="shared" si="80"/>
        <v>1966.2325532771083</v>
      </c>
      <c r="BB52" s="2">
        <f t="shared" si="81"/>
        <v>1096.3756460560314</v>
      </c>
      <c r="BC52" s="4">
        <f t="shared" si="69"/>
        <v>398.47018357487923</v>
      </c>
      <c r="BD52" s="11">
        <f t="shared" si="127"/>
        <v>28.307972843633635</v>
      </c>
      <c r="BE52" s="3">
        <f t="shared" si="86"/>
        <v>800</v>
      </c>
      <c r="BF52" s="34">
        <f t="shared" si="87"/>
        <v>63.937470379092204</v>
      </c>
      <c r="BG52" s="3">
        <f t="shared" si="82"/>
        <v>0</v>
      </c>
      <c r="BH52" s="34">
        <f t="shared" si="128"/>
        <v>0</v>
      </c>
      <c r="BI52" s="3">
        <f t="shared" si="49"/>
        <v>800</v>
      </c>
      <c r="BJ52" s="3">
        <f t="shared" si="107"/>
        <v>898.6766669950182</v>
      </c>
      <c r="BK52" s="3">
        <f t="shared" si="50"/>
        <v>800</v>
      </c>
      <c r="BL52" s="3">
        <f t="shared" si="108"/>
        <v>95.9062055686383</v>
      </c>
      <c r="BM52" s="3">
        <f t="shared" si="51"/>
        <v>120</v>
      </c>
      <c r="BN52" s="3">
        <f t="shared" si="109"/>
        <v>137.99837356820734</v>
      </c>
      <c r="BO52" s="3">
        <f t="shared" si="110"/>
        <v>800</v>
      </c>
      <c r="BP52" s="3">
        <f t="shared" si="111"/>
        <v>58.30133812201884</v>
      </c>
      <c r="BQ52" s="3">
        <f t="shared" si="120"/>
        <v>800</v>
      </c>
      <c r="BR52" s="3">
        <f t="shared" si="53"/>
        <v>0</v>
      </c>
      <c r="BS52" s="3">
        <f t="shared" si="112"/>
        <v>4.826111250980137</v>
      </c>
      <c r="BT52" s="3">
        <f t="shared" si="83"/>
        <v>245.32062115498846</v>
      </c>
      <c r="BU52" s="3">
        <f t="shared" si="54"/>
        <v>800</v>
      </c>
      <c r="BV52" s="3">
        <f t="shared" si="113"/>
        <v>44.401021096591805</v>
      </c>
      <c r="BW52" s="3">
        <f t="shared" si="114"/>
        <v>800</v>
      </c>
      <c r="BX52" s="3">
        <f t="shared" si="115"/>
        <v>39.12966238779996</v>
      </c>
      <c r="BY52" s="3">
        <f t="shared" si="121"/>
        <v>800</v>
      </c>
      <c r="BZ52" s="3">
        <f t="shared" si="57"/>
        <v>0</v>
      </c>
      <c r="CA52" s="3">
        <f t="shared" si="116"/>
        <v>62.78799985593221</v>
      </c>
      <c r="CB52" s="3">
        <f t="shared" si="122"/>
        <v>800</v>
      </c>
      <c r="CC52" s="3">
        <f t="shared" si="59"/>
        <v>0</v>
      </c>
      <c r="CD52" s="3">
        <f t="shared" si="117"/>
        <v>30.923008685191302</v>
      </c>
      <c r="CE52" s="3">
        <f t="shared" si="70"/>
        <v>398.47018357487923</v>
      </c>
      <c r="CF52" s="3">
        <f t="shared" si="129"/>
        <v>65.33815754289924</v>
      </c>
      <c r="CG52" s="34">
        <f t="shared" si="118"/>
        <v>0</v>
      </c>
      <c r="CH52" s="34">
        <f t="shared" si="119"/>
        <v>0</v>
      </c>
      <c r="CK52" s="3" t="s">
        <v>86</v>
      </c>
      <c r="CL52" s="1"/>
      <c r="CM52" s="15"/>
      <c r="CN52" s="113">
        <f>(1/(1+$H$5)^0.5+1/(1+$H$5)^1.5+1/(1+$H$5)^2.5+1/(1+$H$5)^3.5+1/(1+$H$5)^4.5)/5</f>
        <v>0.9520721516581583</v>
      </c>
      <c r="CO52" s="15"/>
    </row>
    <row r="53" spans="1:86" ht="14.25">
      <c r="A53" s="1">
        <f t="shared" si="73"/>
        <v>2041</v>
      </c>
      <c r="B53" s="47">
        <v>4323.947841</v>
      </c>
      <c r="C53" s="2">
        <f t="shared" si="71"/>
        <v>120</v>
      </c>
      <c r="F53" s="2">
        <f t="shared" si="10"/>
        <v>120</v>
      </c>
      <c r="G53" s="14">
        <f t="shared" si="74"/>
        <v>1053.813161835749</v>
      </c>
      <c r="H53" s="14">
        <f t="shared" si="75"/>
        <v>1173.813161835749</v>
      </c>
      <c r="I53" s="2"/>
      <c r="J53" s="2"/>
      <c r="K53" s="2"/>
      <c r="L53" s="2"/>
      <c r="M53" s="3">
        <f t="shared" si="84"/>
        <v>800</v>
      </c>
      <c r="N53" s="3">
        <f t="shared" si="85"/>
        <v>800</v>
      </c>
      <c r="O53" s="2">
        <f t="shared" si="67"/>
        <v>800</v>
      </c>
      <c r="P53" s="14">
        <f t="shared" si="123"/>
        <v>120</v>
      </c>
      <c r="Q53" s="14">
        <f t="shared" si="124"/>
        <v>0</v>
      </c>
      <c r="R53" s="14">
        <f t="shared" si="125"/>
        <v>0</v>
      </c>
      <c r="S53" s="14">
        <f t="shared" si="126"/>
        <v>265.47175362318876</v>
      </c>
      <c r="T53" s="14">
        <f t="shared" si="68"/>
        <v>385.47175362318876</v>
      </c>
      <c r="Z53" s="1">
        <f t="shared" si="88"/>
        <v>800</v>
      </c>
      <c r="AA53" s="1">
        <f t="shared" si="89"/>
        <v>0</v>
      </c>
      <c r="AB53" s="15">
        <f t="shared" si="90"/>
        <v>800</v>
      </c>
      <c r="AC53" s="2">
        <f t="shared" si="91"/>
        <v>0</v>
      </c>
      <c r="AD53" s="2">
        <f t="shared" si="92"/>
        <v>0</v>
      </c>
      <c r="AE53" s="2">
        <f t="shared" si="93"/>
        <v>0</v>
      </c>
      <c r="AF53" s="2">
        <f t="shared" si="94"/>
        <v>0</v>
      </c>
      <c r="AG53" s="2">
        <f t="shared" si="95"/>
        <v>0</v>
      </c>
      <c r="AH53" s="2">
        <f t="shared" si="96"/>
        <v>0</v>
      </c>
      <c r="AI53" s="2">
        <f t="shared" si="46"/>
        <v>0</v>
      </c>
      <c r="AJ53" s="2">
        <f t="shared" si="97"/>
        <v>800</v>
      </c>
      <c r="AK53" s="2">
        <f t="shared" si="98"/>
        <v>0</v>
      </c>
      <c r="AL53" s="2">
        <f t="shared" si="47"/>
        <v>800</v>
      </c>
      <c r="AM53" s="2">
        <f t="shared" si="99"/>
        <v>120</v>
      </c>
      <c r="AN53" s="2">
        <f t="shared" si="100"/>
        <v>0</v>
      </c>
      <c r="AO53" s="2">
        <f t="shared" si="101"/>
        <v>0</v>
      </c>
      <c r="AP53" s="2">
        <f t="shared" si="102"/>
        <v>0</v>
      </c>
      <c r="AQ53" s="2">
        <f t="shared" si="103"/>
        <v>0</v>
      </c>
      <c r="AR53" s="2">
        <f t="shared" si="104"/>
        <v>0</v>
      </c>
      <c r="AS53" s="2">
        <f t="shared" si="105"/>
        <v>0</v>
      </c>
      <c r="AT53" s="2">
        <f t="shared" si="106"/>
        <v>0</v>
      </c>
      <c r="AU53" s="2">
        <f t="shared" si="48"/>
        <v>120</v>
      </c>
      <c r="AV53" s="2">
        <f t="shared" si="76"/>
        <v>0</v>
      </c>
      <c r="AW53" s="2">
        <f t="shared" si="77"/>
        <v>0</v>
      </c>
      <c r="AX53" s="2">
        <f t="shared" si="78"/>
        <v>1053.813161835749</v>
      </c>
      <c r="AY53" s="2">
        <f t="shared" si="79"/>
        <v>120</v>
      </c>
      <c r="AZ53" s="19"/>
      <c r="BA53" s="2">
        <f t="shared" si="80"/>
        <v>1909.2872252713923</v>
      </c>
      <c r="BB53" s="2">
        <f t="shared" si="81"/>
        <v>1063.5956636895648</v>
      </c>
      <c r="BC53" s="4">
        <f t="shared" si="69"/>
        <v>385.47175362318876</v>
      </c>
      <c r="BD53" s="11">
        <f t="shared" si="127"/>
        <v>26.847591317275988</v>
      </c>
      <c r="BE53" s="3">
        <f t="shared" si="86"/>
        <v>800</v>
      </c>
      <c r="BF53" s="34">
        <f t="shared" si="87"/>
        <v>62.68379448930608</v>
      </c>
      <c r="BG53" s="3">
        <f t="shared" si="82"/>
        <v>0</v>
      </c>
      <c r="BH53" s="34">
        <f t="shared" si="128"/>
        <v>0</v>
      </c>
      <c r="BI53" s="3">
        <f t="shared" si="49"/>
        <v>800</v>
      </c>
      <c r="BJ53" s="3">
        <f t="shared" si="107"/>
        <v>881.0555558774689</v>
      </c>
      <c r="BK53" s="3">
        <f t="shared" si="50"/>
        <v>800</v>
      </c>
      <c r="BL53" s="3">
        <f t="shared" si="108"/>
        <v>94.02569173395912</v>
      </c>
      <c r="BM53" s="3">
        <f t="shared" si="51"/>
        <v>120</v>
      </c>
      <c r="BN53" s="3">
        <f t="shared" si="109"/>
        <v>135.2925231060856</v>
      </c>
      <c r="BO53" s="3">
        <f t="shared" si="110"/>
        <v>800</v>
      </c>
      <c r="BP53" s="3">
        <f t="shared" si="111"/>
        <v>57.158174629430235</v>
      </c>
      <c r="BQ53" s="3">
        <f t="shared" si="120"/>
        <v>800</v>
      </c>
      <c r="BR53" s="3">
        <f t="shared" si="53"/>
        <v>0</v>
      </c>
      <c r="BS53" s="3">
        <f t="shared" si="112"/>
        <v>4.731481618607979</v>
      </c>
      <c r="BT53" s="3">
        <f t="shared" si="83"/>
        <v>238.21573256235814</v>
      </c>
      <c r="BU53" s="3">
        <f t="shared" si="54"/>
        <v>800</v>
      </c>
      <c r="BV53" s="3">
        <f t="shared" si="113"/>
        <v>43.53041283979589</v>
      </c>
      <c r="BW53" s="3">
        <f t="shared" si="114"/>
        <v>800</v>
      </c>
      <c r="BX53" s="3">
        <f t="shared" si="115"/>
        <v>38.36241410568624</v>
      </c>
      <c r="BY53" s="3">
        <f t="shared" si="121"/>
        <v>800</v>
      </c>
      <c r="BZ53" s="3">
        <f t="shared" si="57"/>
        <v>0</v>
      </c>
      <c r="CA53" s="3">
        <f t="shared" si="116"/>
        <v>61.55686260385512</v>
      </c>
      <c r="CB53" s="3">
        <f t="shared" si="122"/>
        <v>800</v>
      </c>
      <c r="CC53" s="3">
        <f t="shared" si="59"/>
        <v>0</v>
      </c>
      <c r="CD53" s="3">
        <f t="shared" si="117"/>
        <v>30.3166751815601</v>
      </c>
      <c r="CE53" s="3">
        <f t="shared" si="70"/>
        <v>385.47175362318876</v>
      </c>
      <c r="CF53" s="3">
        <f t="shared" si="129"/>
        <v>61.967423835863244</v>
      </c>
      <c r="CG53" s="34">
        <f t="shared" si="118"/>
        <v>0</v>
      </c>
      <c r="CH53" s="34">
        <f t="shared" si="119"/>
        <v>0</v>
      </c>
    </row>
    <row r="54" spans="1:86" ht="14.25">
      <c r="A54" s="1">
        <f t="shared" si="73"/>
        <v>2042</v>
      </c>
      <c r="B54" s="47">
        <v>4423.345515</v>
      </c>
      <c r="C54" s="2">
        <f t="shared" si="71"/>
        <v>120</v>
      </c>
      <c r="F54" s="2">
        <f t="shared" si="10"/>
        <v>120</v>
      </c>
      <c r="G54" s="14">
        <f t="shared" si="74"/>
        <v>1080.4899396135265</v>
      </c>
      <c r="H54" s="14">
        <f t="shared" si="75"/>
        <v>1200.4899396135265</v>
      </c>
      <c r="I54" s="2"/>
      <c r="J54" s="2"/>
      <c r="K54" s="2"/>
      <c r="L54" s="2"/>
      <c r="M54" s="3">
        <f t="shared" si="84"/>
        <v>800</v>
      </c>
      <c r="N54" s="3">
        <f t="shared" si="85"/>
        <v>800</v>
      </c>
      <c r="O54" s="2">
        <f t="shared" si="67"/>
        <v>800</v>
      </c>
      <c r="P54" s="14">
        <f t="shared" si="123"/>
        <v>120</v>
      </c>
      <c r="Q54" s="14">
        <f t="shared" si="124"/>
        <v>0</v>
      </c>
      <c r="R54" s="14">
        <f t="shared" si="125"/>
        <v>0</v>
      </c>
      <c r="S54" s="14">
        <f t="shared" si="126"/>
        <v>254.15312077294698</v>
      </c>
      <c r="T54" s="14">
        <f t="shared" si="68"/>
        <v>374.153120772947</v>
      </c>
      <c r="Z54" s="1">
        <f t="shared" si="88"/>
        <v>800</v>
      </c>
      <c r="AA54" s="1">
        <f t="shared" si="89"/>
        <v>0</v>
      </c>
      <c r="AB54" s="15">
        <f t="shared" si="90"/>
        <v>800</v>
      </c>
      <c r="AC54" s="2">
        <f t="shared" si="91"/>
        <v>0</v>
      </c>
      <c r="AD54" s="2">
        <f t="shared" si="92"/>
        <v>0</v>
      </c>
      <c r="AE54" s="2">
        <f t="shared" si="93"/>
        <v>0</v>
      </c>
      <c r="AF54" s="2">
        <f t="shared" si="94"/>
        <v>0</v>
      </c>
      <c r="AG54" s="2">
        <f t="shared" si="95"/>
        <v>0</v>
      </c>
      <c r="AH54" s="2">
        <f t="shared" si="96"/>
        <v>0</v>
      </c>
      <c r="AI54" s="2">
        <f t="shared" si="46"/>
        <v>0</v>
      </c>
      <c r="AJ54" s="2">
        <f t="shared" si="97"/>
        <v>800</v>
      </c>
      <c r="AK54" s="2">
        <f t="shared" si="98"/>
        <v>0</v>
      </c>
      <c r="AL54" s="2">
        <f t="shared" si="47"/>
        <v>800</v>
      </c>
      <c r="AM54" s="2">
        <f t="shared" si="99"/>
        <v>120</v>
      </c>
      <c r="AN54" s="2">
        <f t="shared" si="100"/>
        <v>0</v>
      </c>
      <c r="AO54" s="2">
        <f t="shared" si="101"/>
        <v>0</v>
      </c>
      <c r="AP54" s="2">
        <f t="shared" si="102"/>
        <v>0</v>
      </c>
      <c r="AQ54" s="2">
        <f t="shared" si="103"/>
        <v>0</v>
      </c>
      <c r="AR54" s="2">
        <f t="shared" si="104"/>
        <v>0</v>
      </c>
      <c r="AS54" s="2">
        <f t="shared" si="105"/>
        <v>0</v>
      </c>
      <c r="AT54" s="2">
        <f t="shared" si="106"/>
        <v>0</v>
      </c>
      <c r="AU54" s="2">
        <f t="shared" si="48"/>
        <v>120</v>
      </c>
      <c r="AV54" s="2">
        <f t="shared" si="76"/>
        <v>0</v>
      </c>
      <c r="AW54" s="2">
        <f t="shared" si="77"/>
        <v>0</v>
      </c>
      <c r="AX54" s="2">
        <f t="shared" si="78"/>
        <v>1080.4899396135265</v>
      </c>
      <c r="AY54" s="2">
        <f t="shared" si="79"/>
        <v>120</v>
      </c>
      <c r="AZ54" s="19"/>
      <c r="BA54" s="2">
        <f t="shared" si="80"/>
        <v>1914.8797773778815</v>
      </c>
      <c r="BB54" s="2">
        <f t="shared" si="81"/>
        <v>1069.1373341547878</v>
      </c>
      <c r="BC54" s="4">
        <f t="shared" si="69"/>
        <v>374.153120772947</v>
      </c>
      <c r="BD54" s="11">
        <f t="shared" si="127"/>
        <v>25.548297745167677</v>
      </c>
      <c r="BE54" s="3">
        <f t="shared" si="86"/>
        <v>800</v>
      </c>
      <c r="BF54" s="34">
        <f t="shared" si="87"/>
        <v>61.45470047971185</v>
      </c>
      <c r="BG54" s="3">
        <f t="shared" si="82"/>
        <v>0</v>
      </c>
      <c r="BH54" s="34">
        <f t="shared" si="128"/>
        <v>0</v>
      </c>
      <c r="BI54" s="3">
        <f t="shared" si="49"/>
        <v>800</v>
      </c>
      <c r="BJ54" s="3">
        <f t="shared" si="107"/>
        <v>863.7799567426166</v>
      </c>
      <c r="BK54" s="3">
        <f t="shared" si="50"/>
        <v>800</v>
      </c>
      <c r="BL54" s="3">
        <f t="shared" si="108"/>
        <v>92.18205071956777</v>
      </c>
      <c r="BM54" s="3">
        <f t="shared" si="51"/>
        <v>120</v>
      </c>
      <c r="BN54" s="3">
        <f t="shared" si="109"/>
        <v>132.63972853537808</v>
      </c>
      <c r="BO54" s="3">
        <f t="shared" si="110"/>
        <v>800</v>
      </c>
      <c r="BP54" s="3">
        <f t="shared" si="111"/>
        <v>56.03742610728455</v>
      </c>
      <c r="BQ54" s="3">
        <f t="shared" si="120"/>
        <v>800</v>
      </c>
      <c r="BR54" s="3">
        <f t="shared" si="53"/>
        <v>0</v>
      </c>
      <c r="BS54" s="3">
        <f t="shared" si="112"/>
        <v>4.638707469223508</v>
      </c>
      <c r="BT54" s="3">
        <f t="shared" si="83"/>
        <v>238.9134976127429</v>
      </c>
      <c r="BU54" s="3">
        <f t="shared" si="54"/>
        <v>800</v>
      </c>
      <c r="BV54" s="3">
        <f t="shared" si="113"/>
        <v>42.67687533313323</v>
      </c>
      <c r="BW54" s="3">
        <f t="shared" si="114"/>
        <v>800</v>
      </c>
      <c r="BX54" s="3">
        <f t="shared" si="115"/>
        <v>37.61020990753553</v>
      </c>
      <c r="BY54" s="3">
        <f t="shared" si="121"/>
        <v>800</v>
      </c>
      <c r="BZ54" s="3">
        <f t="shared" si="57"/>
        <v>0</v>
      </c>
      <c r="CA54" s="3">
        <f t="shared" si="116"/>
        <v>60.34986529789719</v>
      </c>
      <c r="CB54" s="3">
        <f t="shared" si="122"/>
        <v>800</v>
      </c>
      <c r="CC54" s="3">
        <f t="shared" si="59"/>
        <v>0</v>
      </c>
      <c r="CD54" s="3">
        <f t="shared" si="117"/>
        <v>29.72223057015696</v>
      </c>
      <c r="CE54" s="3">
        <f t="shared" si="70"/>
        <v>374.153120772947</v>
      </c>
      <c r="CF54" s="3">
        <f t="shared" si="129"/>
        <v>58.96850022597355</v>
      </c>
      <c r="CG54" s="34">
        <f t="shared" si="118"/>
        <v>0</v>
      </c>
      <c r="CH54" s="34">
        <f t="shared" si="119"/>
        <v>0</v>
      </c>
    </row>
    <row r="55" spans="1:91" ht="14.25">
      <c r="A55" s="1">
        <f t="shared" si="73"/>
        <v>2043</v>
      </c>
      <c r="B55" s="47">
        <v>4423.345515</v>
      </c>
      <c r="C55" s="2">
        <f t="shared" si="71"/>
        <v>120</v>
      </c>
      <c r="D55" s="4"/>
      <c r="E55" s="4"/>
      <c r="F55" s="2">
        <f t="shared" si="10"/>
        <v>120</v>
      </c>
      <c r="G55" s="11">
        <f t="shared" si="74"/>
        <v>1080.4899396135265</v>
      </c>
      <c r="H55" s="14">
        <f t="shared" si="75"/>
        <v>1200.4899396135265</v>
      </c>
      <c r="I55" s="2"/>
      <c r="J55" s="2"/>
      <c r="K55" s="2"/>
      <c r="L55" s="2"/>
      <c r="M55" s="3">
        <f t="shared" si="84"/>
        <v>800</v>
      </c>
      <c r="N55" s="3">
        <f t="shared" si="85"/>
        <v>800</v>
      </c>
      <c r="O55" s="2">
        <f t="shared" si="67"/>
        <v>800</v>
      </c>
      <c r="P55" s="14">
        <f t="shared" si="123"/>
        <v>120</v>
      </c>
      <c r="Q55" s="14">
        <f t="shared" si="124"/>
        <v>0</v>
      </c>
      <c r="R55" s="14">
        <f t="shared" si="125"/>
        <v>0</v>
      </c>
      <c r="S55" s="14">
        <f t="shared" si="126"/>
        <v>273.99072463768107</v>
      </c>
      <c r="T55" s="14">
        <f t="shared" si="68"/>
        <v>393.99072463768107</v>
      </c>
      <c r="Z55" s="1">
        <f t="shared" si="88"/>
        <v>800</v>
      </c>
      <c r="AA55" s="1">
        <f t="shared" si="89"/>
        <v>0</v>
      </c>
      <c r="AB55" s="15">
        <f t="shared" si="90"/>
        <v>800</v>
      </c>
      <c r="AC55" s="2">
        <f t="shared" si="91"/>
        <v>0</v>
      </c>
      <c r="AD55" s="2">
        <f t="shared" si="92"/>
        <v>0</v>
      </c>
      <c r="AE55" s="2">
        <f t="shared" si="93"/>
        <v>0</v>
      </c>
      <c r="AF55" s="2">
        <f t="shared" si="94"/>
        <v>0</v>
      </c>
      <c r="AG55" s="2">
        <f t="shared" si="95"/>
        <v>0</v>
      </c>
      <c r="AH55" s="2">
        <f t="shared" si="96"/>
        <v>0</v>
      </c>
      <c r="AI55" s="2">
        <f t="shared" si="46"/>
        <v>0</v>
      </c>
      <c r="AJ55" s="2">
        <f t="shared" si="97"/>
        <v>800</v>
      </c>
      <c r="AK55" s="2">
        <f t="shared" si="98"/>
        <v>0</v>
      </c>
      <c r="AL55" s="2">
        <f t="shared" si="47"/>
        <v>800</v>
      </c>
      <c r="AM55" s="2">
        <f t="shared" si="99"/>
        <v>120</v>
      </c>
      <c r="AN55" s="2">
        <f t="shared" si="100"/>
        <v>0</v>
      </c>
      <c r="AO55" s="2">
        <f t="shared" si="101"/>
        <v>0</v>
      </c>
      <c r="AP55" s="2">
        <f t="shared" si="102"/>
        <v>0</v>
      </c>
      <c r="AQ55" s="2">
        <f t="shared" si="103"/>
        <v>0</v>
      </c>
      <c r="AR55" s="2">
        <f t="shared" si="104"/>
        <v>0</v>
      </c>
      <c r="AS55" s="2">
        <f t="shared" si="105"/>
        <v>0</v>
      </c>
      <c r="AT55" s="2">
        <f t="shared" si="106"/>
        <v>0</v>
      </c>
      <c r="AU55" s="2">
        <f t="shared" si="48"/>
        <v>120</v>
      </c>
      <c r="AV55" s="2">
        <f t="shared" si="76"/>
        <v>0</v>
      </c>
      <c r="AW55" s="2">
        <f t="shared" si="77"/>
        <v>0</v>
      </c>
      <c r="AX55" s="2">
        <f t="shared" si="78"/>
        <v>1080.4899396135265</v>
      </c>
      <c r="AY55" s="2">
        <f t="shared" si="79"/>
        <v>120</v>
      </c>
      <c r="AZ55" s="19"/>
      <c r="BA55" s="2">
        <f t="shared" si="80"/>
        <v>1877.333115076355</v>
      </c>
      <c r="BB55" s="2">
        <f t="shared" si="81"/>
        <v>1048.1738570144983</v>
      </c>
      <c r="BC55" s="4">
        <f t="shared" si="69"/>
        <v>393.99072463768107</v>
      </c>
      <c r="BD55" s="11">
        <f t="shared" si="127"/>
        <v>26.37536162787943</v>
      </c>
      <c r="BE55" s="3">
        <f t="shared" si="86"/>
        <v>800</v>
      </c>
      <c r="BF55" s="34">
        <f t="shared" si="87"/>
        <v>60.24970635265867</v>
      </c>
      <c r="BG55" s="3">
        <f t="shared" si="82"/>
        <v>0</v>
      </c>
      <c r="BH55" s="34">
        <f t="shared" si="128"/>
        <v>0</v>
      </c>
      <c r="BI55" s="3">
        <f t="shared" si="49"/>
        <v>800</v>
      </c>
      <c r="BJ55" s="3">
        <f t="shared" si="107"/>
        <v>846.8430948457024</v>
      </c>
      <c r="BK55" s="3">
        <f t="shared" si="50"/>
        <v>800</v>
      </c>
      <c r="BL55" s="3">
        <f t="shared" si="108"/>
        <v>90.374559528988</v>
      </c>
      <c r="BM55" s="3">
        <f t="shared" si="51"/>
        <v>120</v>
      </c>
      <c r="BN55" s="3">
        <f t="shared" si="109"/>
        <v>130.0389495444883</v>
      </c>
      <c r="BO55" s="3">
        <f t="shared" si="110"/>
        <v>800</v>
      </c>
      <c r="BP55" s="3">
        <f t="shared" si="111"/>
        <v>54.9386530463574</v>
      </c>
      <c r="BQ55" s="3">
        <f t="shared" si="120"/>
        <v>800</v>
      </c>
      <c r="BR55" s="3">
        <f t="shared" si="53"/>
        <v>0</v>
      </c>
      <c r="BS55" s="3">
        <f t="shared" si="112"/>
        <v>4.547752420807361</v>
      </c>
      <c r="BT55" s="3">
        <f t="shared" si="83"/>
        <v>234.2289192281794</v>
      </c>
      <c r="BU55" s="3">
        <f t="shared" si="54"/>
        <v>800</v>
      </c>
      <c r="BV55" s="3">
        <f t="shared" si="113"/>
        <v>41.840073856012964</v>
      </c>
      <c r="BW55" s="3">
        <f t="shared" si="114"/>
        <v>800</v>
      </c>
      <c r="BX55" s="3">
        <f t="shared" si="115"/>
        <v>36.87275481130934</v>
      </c>
      <c r="BY55" s="3">
        <f t="shared" si="121"/>
        <v>800</v>
      </c>
      <c r="BZ55" s="3">
        <f t="shared" si="57"/>
        <v>0</v>
      </c>
      <c r="CA55" s="3">
        <f t="shared" si="116"/>
        <v>59.16653460578156</v>
      </c>
      <c r="CB55" s="3">
        <f t="shared" si="122"/>
        <v>800</v>
      </c>
      <c r="CC55" s="3">
        <f t="shared" si="59"/>
        <v>0</v>
      </c>
      <c r="CD55" s="3">
        <f t="shared" si="117"/>
        <v>29.139441735448003</v>
      </c>
      <c r="CE55" s="3">
        <f t="shared" si="70"/>
        <v>393.99072463768107</v>
      </c>
      <c r="CF55" s="3">
        <f t="shared" si="129"/>
        <v>60.8774617247414</v>
      </c>
      <c r="CG55" s="34">
        <f t="shared" si="118"/>
        <v>0</v>
      </c>
      <c r="CH55" s="34">
        <f t="shared" si="119"/>
        <v>0</v>
      </c>
      <c r="CK55" s="44" t="s">
        <v>111</v>
      </c>
      <c r="CL55" s="14"/>
      <c r="CM55" s="14"/>
    </row>
    <row r="56" spans="1:92" ht="14.25">
      <c r="A56" s="1">
        <f t="shared" si="73"/>
        <v>2044</v>
      </c>
      <c r="B56" s="47">
        <v>4347.791361</v>
      </c>
      <c r="C56" s="2">
        <f t="shared" si="71"/>
        <v>120</v>
      </c>
      <c r="D56" s="4"/>
      <c r="E56" s="4"/>
      <c r="F56" s="2">
        <f t="shared" si="10"/>
        <v>120</v>
      </c>
      <c r="G56" s="11">
        <f t="shared" si="74"/>
        <v>1060.2123888888889</v>
      </c>
      <c r="H56" s="11">
        <f t="shared" si="75"/>
        <v>1180.2123888888889</v>
      </c>
      <c r="I56" s="4"/>
      <c r="J56" s="4"/>
      <c r="K56" s="4"/>
      <c r="L56" s="4"/>
      <c r="M56" s="3">
        <f t="shared" si="84"/>
        <v>800</v>
      </c>
      <c r="N56" s="3">
        <f>SUM(L56:M56)</f>
        <v>800</v>
      </c>
      <c r="O56" s="2">
        <f t="shared" si="67"/>
        <v>800</v>
      </c>
      <c r="P56" s="14">
        <f t="shared" si="123"/>
        <v>120</v>
      </c>
      <c r="Q56" s="14">
        <f t="shared" si="124"/>
        <v>0</v>
      </c>
      <c r="R56" s="14">
        <f t="shared" si="125"/>
        <v>0</v>
      </c>
      <c r="S56" s="14">
        <f t="shared" si="126"/>
        <v>264.991811594203</v>
      </c>
      <c r="T56" s="14">
        <f t="shared" si="68"/>
        <v>384.991811594203</v>
      </c>
      <c r="Z56" s="1">
        <f t="shared" si="88"/>
        <v>800</v>
      </c>
      <c r="AA56" s="1">
        <f t="shared" si="89"/>
        <v>0</v>
      </c>
      <c r="AB56" s="15">
        <f t="shared" si="90"/>
        <v>800</v>
      </c>
      <c r="AC56" s="2">
        <f t="shared" si="91"/>
        <v>0</v>
      </c>
      <c r="AD56" s="2">
        <f t="shared" si="92"/>
        <v>0</v>
      </c>
      <c r="AE56" s="2">
        <f t="shared" si="93"/>
        <v>0</v>
      </c>
      <c r="AF56" s="2">
        <f t="shared" si="94"/>
        <v>0</v>
      </c>
      <c r="AG56" s="2">
        <f t="shared" si="95"/>
        <v>0</v>
      </c>
      <c r="AH56" s="2">
        <f t="shared" si="96"/>
        <v>0</v>
      </c>
      <c r="AI56" s="2">
        <f t="shared" si="46"/>
        <v>0</v>
      </c>
      <c r="AJ56" s="2">
        <f t="shared" si="97"/>
        <v>800</v>
      </c>
      <c r="AK56" s="2">
        <f t="shared" si="98"/>
        <v>0</v>
      </c>
      <c r="AL56" s="2">
        <f t="shared" si="47"/>
        <v>800</v>
      </c>
      <c r="AM56" s="2">
        <f t="shared" si="99"/>
        <v>120</v>
      </c>
      <c r="AN56" s="2">
        <f t="shared" si="100"/>
        <v>0</v>
      </c>
      <c r="AO56" s="2">
        <f t="shared" si="101"/>
        <v>0</v>
      </c>
      <c r="AP56" s="2">
        <f t="shared" si="102"/>
        <v>0</v>
      </c>
      <c r="AQ56" s="2">
        <f t="shared" si="103"/>
        <v>0</v>
      </c>
      <c r="AR56" s="2">
        <f t="shared" si="104"/>
        <v>0</v>
      </c>
      <c r="AS56" s="2">
        <f t="shared" si="105"/>
        <v>0</v>
      </c>
      <c r="AT56" s="2">
        <f t="shared" si="106"/>
        <v>0</v>
      </c>
      <c r="AU56" s="2">
        <f t="shared" si="48"/>
        <v>120</v>
      </c>
      <c r="AV56" s="2">
        <f t="shared" si="76"/>
        <v>0</v>
      </c>
      <c r="AW56" s="2">
        <f t="shared" si="77"/>
        <v>0</v>
      </c>
      <c r="AX56" s="2">
        <f t="shared" si="78"/>
        <v>1060.2123888888889</v>
      </c>
      <c r="AY56" s="2">
        <f t="shared" si="79"/>
        <v>120</v>
      </c>
      <c r="AZ56" s="19"/>
      <c r="BA56" s="2">
        <f t="shared" si="80"/>
        <v>1809.0851148151328</v>
      </c>
      <c r="BB56" s="2">
        <f t="shared" si="81"/>
        <v>1008.3360608756825</v>
      </c>
      <c r="BC56" s="4">
        <f t="shared" si="69"/>
        <v>384.991811594203</v>
      </c>
      <c r="BD56" s="11">
        <f t="shared" si="127"/>
        <v>25.26758561735166</v>
      </c>
      <c r="BE56" s="3">
        <f t="shared" si="86"/>
        <v>800</v>
      </c>
      <c r="BF56" s="34">
        <f t="shared" si="87"/>
        <v>59.06833956143007</v>
      </c>
      <c r="BG56" s="3">
        <f t="shared" si="82"/>
        <v>0</v>
      </c>
      <c r="BH56" s="34">
        <f t="shared" si="128"/>
        <v>0</v>
      </c>
      <c r="BI56" s="3">
        <f t="shared" si="49"/>
        <v>800</v>
      </c>
      <c r="BJ56" s="3">
        <f t="shared" si="107"/>
        <v>830.2383282801004</v>
      </c>
      <c r="BK56" s="3">
        <f t="shared" si="50"/>
        <v>800</v>
      </c>
      <c r="BL56" s="3">
        <f t="shared" si="108"/>
        <v>88.6025093421451</v>
      </c>
      <c r="BM56" s="3">
        <f t="shared" si="51"/>
        <v>120</v>
      </c>
      <c r="BN56" s="3">
        <f t="shared" si="109"/>
        <v>127.48916622008657</v>
      </c>
      <c r="BO56" s="3">
        <f t="shared" si="110"/>
        <v>800</v>
      </c>
      <c r="BP56" s="3">
        <f t="shared" si="111"/>
        <v>53.86142455525235</v>
      </c>
      <c r="BQ56" s="3">
        <f t="shared" si="120"/>
        <v>800</v>
      </c>
      <c r="BR56" s="3">
        <f t="shared" si="53"/>
        <v>0</v>
      </c>
      <c r="BS56" s="3">
        <f t="shared" si="112"/>
        <v>4.458580804713098</v>
      </c>
      <c r="BT56" s="3">
        <f t="shared" si="83"/>
        <v>225.7138319417015</v>
      </c>
      <c r="BU56" s="3">
        <f t="shared" si="54"/>
        <v>800</v>
      </c>
      <c r="BV56" s="3">
        <f t="shared" si="113"/>
        <v>41.019680250993105</v>
      </c>
      <c r="BW56" s="3">
        <f t="shared" si="114"/>
        <v>800</v>
      </c>
      <c r="BX56" s="3">
        <f t="shared" si="115"/>
        <v>36.14975961893072</v>
      </c>
      <c r="BY56" s="3">
        <f t="shared" si="121"/>
        <v>800</v>
      </c>
      <c r="BZ56" s="3">
        <f t="shared" si="57"/>
        <v>0</v>
      </c>
      <c r="CA56" s="3">
        <f t="shared" si="116"/>
        <v>58.006406476256416</v>
      </c>
      <c r="CB56" s="3">
        <f t="shared" si="122"/>
        <v>800</v>
      </c>
      <c r="CC56" s="3">
        <f t="shared" si="59"/>
        <v>0</v>
      </c>
      <c r="CD56" s="3">
        <f t="shared" si="117"/>
        <v>28.568080132792158</v>
      </c>
      <c r="CE56" s="3">
        <f t="shared" si="70"/>
        <v>384.991811594203</v>
      </c>
      <c r="CF56" s="3">
        <f t="shared" si="129"/>
        <v>58.320583353481204</v>
      </c>
      <c r="CG56" s="34">
        <f t="shared" si="118"/>
        <v>0</v>
      </c>
      <c r="CH56" s="34">
        <f t="shared" si="119"/>
        <v>0</v>
      </c>
      <c r="CK56" s="3"/>
      <c r="CL56" s="4"/>
      <c r="CM56" s="35"/>
      <c r="CN56" s="34"/>
    </row>
    <row r="57" spans="1:92" ht="14.25">
      <c r="A57" s="1">
        <f t="shared" si="73"/>
        <v>2045</v>
      </c>
      <c r="B57" s="47">
        <v>4323.202731</v>
      </c>
      <c r="C57" s="2">
        <f t="shared" si="71"/>
        <v>120</v>
      </c>
      <c r="F57" s="2">
        <f t="shared" si="10"/>
        <v>120</v>
      </c>
      <c r="G57" s="14">
        <f t="shared" si="74"/>
        <v>1053.6131859903383</v>
      </c>
      <c r="H57" s="14">
        <f t="shared" si="75"/>
        <v>1173.6131859903383</v>
      </c>
      <c r="I57" s="2">
        <f aca="true" t="shared" si="130" ref="I57:I73">IF((O57*C56/H56)&lt;C56,O57*C56/H56,C56)</f>
        <v>59.508321732535784</v>
      </c>
      <c r="J57" s="2">
        <f aca="true" t="shared" si="131" ref="J57:J73">IF((O57*D56/H56)&lt;D56,O57*D56/H56,D56)</f>
        <v>0</v>
      </c>
      <c r="K57" s="2">
        <f aca="true" t="shared" si="132" ref="K57:K73">IF((O57*E56/H56)&lt;E56,O57*E56/H56,E56)</f>
        <v>0</v>
      </c>
      <c r="L57" s="2">
        <f aca="true" t="shared" si="133" ref="L57:L73">I57+J57+K57</f>
        <v>59.508321732535784</v>
      </c>
      <c r="M57" s="3">
        <f t="shared" si="84"/>
        <v>525.7621661901695</v>
      </c>
      <c r="N57" s="3">
        <f t="shared" si="85"/>
        <v>585.2704879227053</v>
      </c>
      <c r="O57" s="2">
        <f t="shared" si="67"/>
        <v>585.2704879227053</v>
      </c>
      <c r="P57" s="14">
        <f t="shared" si="123"/>
        <v>120</v>
      </c>
      <c r="Q57" s="14">
        <f t="shared" si="124"/>
        <v>0</v>
      </c>
      <c r="R57" s="14">
        <f t="shared" si="125"/>
        <v>0</v>
      </c>
      <c r="S57" s="14">
        <f t="shared" si="126"/>
        <v>264.991811594203</v>
      </c>
      <c r="T57" s="14">
        <f t="shared" si="68"/>
        <v>384.991811594203</v>
      </c>
      <c r="Z57" s="1">
        <f t="shared" si="88"/>
        <v>800</v>
      </c>
      <c r="AA57" s="1">
        <f t="shared" si="89"/>
        <v>0</v>
      </c>
      <c r="AB57" s="15">
        <f t="shared" si="90"/>
        <v>800</v>
      </c>
      <c r="AC57" s="2">
        <f t="shared" si="91"/>
        <v>0</v>
      </c>
      <c r="AD57" s="2">
        <f t="shared" si="92"/>
        <v>0</v>
      </c>
      <c r="AE57" s="2">
        <f t="shared" si="93"/>
        <v>0</v>
      </c>
      <c r="AF57" s="2">
        <f t="shared" si="94"/>
        <v>0</v>
      </c>
      <c r="AG57" s="2">
        <f t="shared" si="95"/>
        <v>0</v>
      </c>
      <c r="AH57" s="2">
        <f t="shared" si="96"/>
        <v>0</v>
      </c>
      <c r="AI57" s="2">
        <f t="shared" si="46"/>
        <v>0</v>
      </c>
      <c r="AJ57" s="2">
        <f t="shared" si="97"/>
        <v>800</v>
      </c>
      <c r="AK57" s="2">
        <f t="shared" si="98"/>
        <v>0</v>
      </c>
      <c r="AL57" s="2">
        <f t="shared" si="47"/>
        <v>800</v>
      </c>
      <c r="AM57" s="2">
        <f t="shared" si="99"/>
        <v>120</v>
      </c>
      <c r="AN57" s="2">
        <f t="shared" si="100"/>
        <v>0</v>
      </c>
      <c r="AO57" s="2">
        <f t="shared" si="101"/>
        <v>0</v>
      </c>
      <c r="AP57" s="2">
        <f t="shared" si="102"/>
        <v>0</v>
      </c>
      <c r="AQ57" s="2">
        <f t="shared" si="103"/>
        <v>0</v>
      </c>
      <c r="AR57" s="2">
        <f t="shared" si="104"/>
        <v>0</v>
      </c>
      <c r="AS57" s="2">
        <f t="shared" si="105"/>
        <v>0</v>
      </c>
      <c r="AT57" s="2">
        <f t="shared" si="106"/>
        <v>0</v>
      </c>
      <c r="AU57" s="2">
        <f t="shared" si="48"/>
        <v>120</v>
      </c>
      <c r="AV57" s="2">
        <f t="shared" si="76"/>
        <v>0</v>
      </c>
      <c r="AW57" s="2">
        <f t="shared" si="77"/>
        <v>0</v>
      </c>
      <c r="AX57" s="2">
        <f t="shared" si="78"/>
        <v>1053.6131859903383</v>
      </c>
      <c r="AY57" s="2">
        <f t="shared" si="79"/>
        <v>120</v>
      </c>
      <c r="AZ57" s="19"/>
      <c r="BA57" s="2">
        <f t="shared" si="80"/>
        <v>1763.582314174578</v>
      </c>
      <c r="BB57" s="2">
        <f t="shared" si="81"/>
        <v>982.4115272748907</v>
      </c>
      <c r="BC57" s="4">
        <f t="shared" si="69"/>
        <v>384.991811594203</v>
      </c>
      <c r="BD57" s="11">
        <f t="shared" si="127"/>
        <v>24.772142762109468</v>
      </c>
      <c r="BE57" s="3">
        <f t="shared" si="86"/>
        <v>585.2704879227053</v>
      </c>
      <c r="BF57" s="34">
        <f t="shared" si="87"/>
        <v>42.36636754399781</v>
      </c>
      <c r="BG57" s="3">
        <f t="shared" si="82"/>
        <v>0</v>
      </c>
      <c r="BH57" s="34">
        <f t="shared" si="128"/>
        <v>0</v>
      </c>
      <c r="BI57" s="3">
        <f t="shared" si="49"/>
        <v>800</v>
      </c>
      <c r="BJ57" s="3">
        <f t="shared" si="107"/>
        <v>813.9591453726474</v>
      </c>
      <c r="BK57" s="3">
        <f t="shared" si="50"/>
        <v>800</v>
      </c>
      <c r="BL57" s="3">
        <f t="shared" si="108"/>
        <v>86.86520523739716</v>
      </c>
      <c r="BM57" s="3">
        <f t="shared" si="51"/>
        <v>120</v>
      </c>
      <c r="BN57" s="3">
        <f t="shared" si="109"/>
        <v>124.98937864714368</v>
      </c>
      <c r="BO57" s="3">
        <f t="shared" si="110"/>
        <v>800</v>
      </c>
      <c r="BP57" s="3">
        <f t="shared" si="111"/>
        <v>52.805318191423865</v>
      </c>
      <c r="BQ57" s="3">
        <f t="shared" si="120"/>
        <v>800</v>
      </c>
      <c r="BR57" s="3">
        <f t="shared" si="53"/>
        <v>0</v>
      </c>
      <c r="BS57" s="3">
        <f t="shared" si="112"/>
        <v>4.371157651679508</v>
      </c>
      <c r="BT57" s="3">
        <f t="shared" si="83"/>
        <v>220.03659132292142</v>
      </c>
      <c r="BU57" s="3">
        <f t="shared" si="54"/>
        <v>800</v>
      </c>
      <c r="BV57" s="3">
        <f t="shared" si="113"/>
        <v>40.21537279509128</v>
      </c>
      <c r="BW57" s="3">
        <f t="shared" si="114"/>
        <v>800</v>
      </c>
      <c r="BX57" s="3">
        <f t="shared" si="115"/>
        <v>35.44094080287326</v>
      </c>
      <c r="BY57" s="3">
        <f t="shared" si="121"/>
        <v>800</v>
      </c>
      <c r="BZ57" s="3">
        <f t="shared" si="57"/>
        <v>0</v>
      </c>
      <c r="CA57" s="3">
        <f t="shared" si="116"/>
        <v>56.86902595711413</v>
      </c>
      <c r="CB57" s="3">
        <f t="shared" si="122"/>
        <v>800</v>
      </c>
      <c r="CC57" s="3">
        <f t="shared" si="59"/>
        <v>0</v>
      </c>
      <c r="CD57" s="3">
        <f t="shared" si="117"/>
        <v>28.00792169881584</v>
      </c>
      <c r="CE57" s="3">
        <f t="shared" si="70"/>
        <v>384.991811594203</v>
      </c>
      <c r="CF57" s="3">
        <f t="shared" si="129"/>
        <v>57.177042503412935</v>
      </c>
      <c r="CG57" s="34">
        <f t="shared" si="118"/>
        <v>0</v>
      </c>
      <c r="CH57" s="34">
        <f t="shared" si="119"/>
        <v>0</v>
      </c>
      <c r="CK57" s="91" t="s">
        <v>112</v>
      </c>
      <c r="CL57" s="89"/>
      <c r="CM57" s="128">
        <f>H5</f>
        <v>0.02</v>
      </c>
      <c r="CN57" s="95"/>
    </row>
    <row r="58" spans="1:92" ht="14.25">
      <c r="A58" s="26">
        <f t="shared" si="73"/>
        <v>2046</v>
      </c>
      <c r="B58" s="51">
        <v>4323.202731</v>
      </c>
      <c r="C58" s="2">
        <f t="shared" si="71"/>
        <v>120</v>
      </c>
      <c r="D58" s="28"/>
      <c r="E58" s="28"/>
      <c r="F58" s="28">
        <f t="shared" si="10"/>
        <v>120</v>
      </c>
      <c r="G58" s="29">
        <f t="shared" si="74"/>
        <v>1053.6131859903383</v>
      </c>
      <c r="H58" s="29">
        <f t="shared" si="75"/>
        <v>1173.6131859903383</v>
      </c>
      <c r="I58" s="28">
        <f t="shared" si="130"/>
        <v>64.95535280339993</v>
      </c>
      <c r="J58" s="28">
        <f t="shared" si="131"/>
        <v>0</v>
      </c>
      <c r="K58" s="28">
        <f t="shared" si="132"/>
        <v>0</v>
      </c>
      <c r="L58" s="28">
        <f t="shared" si="133"/>
        <v>64.95535280339993</v>
      </c>
      <c r="M58" s="26">
        <f t="shared" si="84"/>
        <v>570.3151351193054</v>
      </c>
      <c r="N58" s="26">
        <f t="shared" si="85"/>
        <v>635.2704879227053</v>
      </c>
      <c r="O58" s="28">
        <f t="shared" si="67"/>
        <v>635.2704879227053</v>
      </c>
      <c r="P58" s="29">
        <f t="shared" si="123"/>
        <v>120</v>
      </c>
      <c r="Q58" s="29">
        <f t="shared" si="124"/>
        <v>0</v>
      </c>
      <c r="R58" s="29">
        <f t="shared" si="125"/>
        <v>0</v>
      </c>
      <c r="S58" s="29">
        <f t="shared" si="126"/>
        <v>253.81316183574904</v>
      </c>
      <c r="T58" s="29">
        <f t="shared" si="68"/>
        <v>373.81316183574904</v>
      </c>
      <c r="Z58" s="26">
        <f t="shared" si="88"/>
        <v>800</v>
      </c>
      <c r="AA58" s="26">
        <f t="shared" si="89"/>
        <v>0</v>
      </c>
      <c r="AB58" s="32">
        <f t="shared" si="90"/>
        <v>800</v>
      </c>
      <c r="AC58" s="28">
        <f t="shared" si="91"/>
        <v>0</v>
      </c>
      <c r="AD58" s="28">
        <f t="shared" si="92"/>
        <v>0</v>
      </c>
      <c r="AE58" s="28">
        <f t="shared" si="93"/>
        <v>0</v>
      </c>
      <c r="AF58" s="28">
        <f t="shared" si="94"/>
        <v>0</v>
      </c>
      <c r="AG58" s="28">
        <f t="shared" si="95"/>
        <v>0</v>
      </c>
      <c r="AH58" s="28">
        <f t="shared" si="96"/>
        <v>0</v>
      </c>
      <c r="AI58" s="28">
        <f t="shared" si="46"/>
        <v>0</v>
      </c>
      <c r="AJ58" s="28">
        <f t="shared" si="97"/>
        <v>800</v>
      </c>
      <c r="AK58" s="28">
        <f t="shared" si="98"/>
        <v>0</v>
      </c>
      <c r="AL58" s="28">
        <f t="shared" si="47"/>
        <v>800</v>
      </c>
      <c r="AM58" s="28">
        <f t="shared" si="99"/>
        <v>120</v>
      </c>
      <c r="AN58" s="28">
        <f t="shared" si="100"/>
        <v>0</v>
      </c>
      <c r="AO58" s="28">
        <f t="shared" si="101"/>
        <v>0</v>
      </c>
      <c r="AP58" s="28">
        <f t="shared" si="102"/>
        <v>0</v>
      </c>
      <c r="AQ58" s="28">
        <f t="shared" si="103"/>
        <v>0</v>
      </c>
      <c r="AR58" s="28">
        <f t="shared" si="104"/>
        <v>0</v>
      </c>
      <c r="AS58" s="28">
        <f t="shared" si="105"/>
        <v>0</v>
      </c>
      <c r="AT58" s="28">
        <f t="shared" si="106"/>
        <v>0</v>
      </c>
      <c r="AU58" s="28">
        <f t="shared" si="48"/>
        <v>120</v>
      </c>
      <c r="AV58" s="28">
        <f t="shared" si="76"/>
        <v>0</v>
      </c>
      <c r="AW58" s="28">
        <f t="shared" si="77"/>
        <v>0</v>
      </c>
      <c r="AX58" s="28">
        <f t="shared" si="78"/>
        <v>1053.6131859903383</v>
      </c>
      <c r="AY58" s="28">
        <f t="shared" si="79"/>
        <v>120</v>
      </c>
      <c r="AZ58" s="45"/>
      <c r="BA58" s="28">
        <f t="shared" si="80"/>
        <v>1729.0022687986059</v>
      </c>
      <c r="BB58" s="28">
        <f t="shared" si="81"/>
        <v>963.1485561518537</v>
      </c>
      <c r="BC58" s="4">
        <f t="shared" si="69"/>
        <v>373.81316183574904</v>
      </c>
      <c r="BD58" s="11">
        <f t="shared" si="127"/>
        <v>23.581232406174806</v>
      </c>
      <c r="BE58" s="26">
        <f t="shared" si="86"/>
        <v>635.2704879227053</v>
      </c>
      <c r="BF58" s="32">
        <f t="shared" si="87"/>
        <v>45.08406970152553</v>
      </c>
      <c r="BG58" s="26">
        <f t="shared" si="82"/>
        <v>0</v>
      </c>
      <c r="BH58" s="32">
        <f t="shared" si="128"/>
        <v>0</v>
      </c>
      <c r="BI58" s="26">
        <f t="shared" si="49"/>
        <v>800</v>
      </c>
      <c r="BJ58" s="3">
        <f t="shared" si="107"/>
        <v>797.9991621300467</v>
      </c>
      <c r="BK58" s="26">
        <f t="shared" si="50"/>
        <v>800</v>
      </c>
      <c r="BL58" s="26">
        <f t="shared" si="108"/>
        <v>85.16196591901685</v>
      </c>
      <c r="BM58" s="26">
        <f t="shared" si="51"/>
        <v>120</v>
      </c>
      <c r="BN58" s="26">
        <f t="shared" si="109"/>
        <v>122.53860651680758</v>
      </c>
      <c r="BO58" s="26">
        <f t="shared" si="110"/>
        <v>800</v>
      </c>
      <c r="BP58" s="3">
        <f t="shared" si="111"/>
        <v>51.76991979551362</v>
      </c>
      <c r="BQ58" s="26">
        <f t="shared" si="120"/>
        <v>800</v>
      </c>
      <c r="BR58" s="26">
        <f t="shared" si="53"/>
        <v>0</v>
      </c>
      <c r="BS58" s="26">
        <f t="shared" si="112"/>
        <v>4.285448678117167</v>
      </c>
      <c r="BT58" s="26">
        <f t="shared" si="83"/>
        <v>215.7221483558053</v>
      </c>
      <c r="BU58" s="26">
        <f t="shared" si="54"/>
        <v>800</v>
      </c>
      <c r="BV58" s="26">
        <f t="shared" si="113"/>
        <v>39.426836073618915</v>
      </c>
      <c r="BW58" s="26">
        <f t="shared" si="114"/>
        <v>800</v>
      </c>
      <c r="BX58" s="3">
        <f t="shared" si="115"/>
        <v>34.74602039497379</v>
      </c>
      <c r="BY58" s="26">
        <f t="shared" si="121"/>
        <v>800</v>
      </c>
      <c r="BZ58" s="26">
        <f t="shared" si="57"/>
        <v>0</v>
      </c>
      <c r="CA58" s="26">
        <f t="shared" si="116"/>
        <v>55.75394701677858</v>
      </c>
      <c r="CB58" s="26">
        <f t="shared" si="122"/>
        <v>800</v>
      </c>
      <c r="CC58" s="26">
        <f t="shared" si="59"/>
        <v>0</v>
      </c>
      <c r="CD58" s="26">
        <f t="shared" si="117"/>
        <v>27.45874676354495</v>
      </c>
      <c r="CE58" s="3">
        <f t="shared" si="70"/>
        <v>373.81316183574904</v>
      </c>
      <c r="CF58" s="3">
        <f t="shared" si="129"/>
        <v>54.428280206467726</v>
      </c>
      <c r="CG58" s="34">
        <f t="shared" si="118"/>
        <v>0</v>
      </c>
      <c r="CH58" s="34">
        <f t="shared" si="119"/>
        <v>0</v>
      </c>
      <c r="CI58" s="65"/>
      <c r="CK58" s="92" t="s">
        <v>15</v>
      </c>
      <c r="CL58" s="3"/>
      <c r="CM58" s="129">
        <f>BB133</f>
        <v>0.5663099106934044</v>
      </c>
      <c r="CN58" s="117" t="s">
        <v>31</v>
      </c>
    </row>
    <row r="59" spans="1:174" s="24" customFormat="1" ht="14.25">
      <c r="A59" s="1">
        <f t="shared" si="73"/>
        <v>2047</v>
      </c>
      <c r="B59" s="47">
        <v>4408.145271</v>
      </c>
      <c r="C59" s="86">
        <f t="shared" si="71"/>
        <v>120</v>
      </c>
      <c r="D59" s="89"/>
      <c r="E59" s="4"/>
      <c r="F59" s="2">
        <f t="shared" si="10"/>
        <v>120</v>
      </c>
      <c r="G59" s="14">
        <f t="shared" si="74"/>
        <v>1076.41043236715</v>
      </c>
      <c r="H59" s="14">
        <f t="shared" si="75"/>
        <v>1196.41043236715</v>
      </c>
      <c r="I59" s="2">
        <f t="shared" si="130"/>
        <v>78.24763699568781</v>
      </c>
      <c r="J59" s="2">
        <f t="shared" si="131"/>
        <v>0</v>
      </c>
      <c r="K59" s="2">
        <f t="shared" si="132"/>
        <v>0</v>
      </c>
      <c r="L59" s="2">
        <f t="shared" si="133"/>
        <v>78.24763699568781</v>
      </c>
      <c r="M59" s="3">
        <f t="shared" si="84"/>
        <v>687.0228509270175</v>
      </c>
      <c r="N59" s="3">
        <f t="shared" si="85"/>
        <v>765.2704879227053</v>
      </c>
      <c r="O59" s="2">
        <f t="shared" si="67"/>
        <v>765.2704879227053</v>
      </c>
      <c r="P59" s="11">
        <f t="shared" si="123"/>
        <v>120</v>
      </c>
      <c r="Q59" s="14">
        <f t="shared" si="124"/>
        <v>0</v>
      </c>
      <c r="R59" s="14">
        <f t="shared" si="125"/>
        <v>0</v>
      </c>
      <c r="S59" s="14">
        <f t="shared" si="126"/>
        <v>280.48993961352653</v>
      </c>
      <c r="T59" s="14">
        <f t="shared" si="68"/>
        <v>400.48993961352653</v>
      </c>
      <c r="U59" s="24">
        <f aca="true" t="shared" si="134" ref="U59:U90">IF($L$3&gt;0,P19,P11)</f>
        <v>0</v>
      </c>
      <c r="V59" s="24">
        <f aca="true" t="shared" si="135" ref="V59:V90">IF($L$3&gt;0,Q19,Q11)</f>
        <v>0</v>
      </c>
      <c r="W59" s="24">
        <f aca="true" t="shared" si="136" ref="W59:W90">IF($L$3&gt;0,R19,R11)</f>
        <v>0</v>
      </c>
      <c r="X59" s="24">
        <f aca="true" t="shared" si="137" ref="X59:X90">IF($L$3&gt;0,S19,S11)</f>
        <v>614.7295120772947</v>
      </c>
      <c r="Y59" s="24">
        <f aca="true" t="shared" si="138" ref="Y59:Y90">IF($L$3&gt;0,T19,T11)</f>
        <v>614.7295120772947</v>
      </c>
      <c r="Z59" s="3">
        <f t="shared" si="88"/>
        <v>525.7621661901695</v>
      </c>
      <c r="AA59" s="1">
        <f t="shared" si="89"/>
        <v>614.7295120772947</v>
      </c>
      <c r="AB59" s="15">
        <f t="shared" si="90"/>
        <v>1140.491678267464</v>
      </c>
      <c r="AC59" s="2">
        <f t="shared" si="91"/>
        <v>59.508321732535784</v>
      </c>
      <c r="AD59" s="2">
        <f t="shared" si="92"/>
        <v>0</v>
      </c>
      <c r="AE59" s="2">
        <f t="shared" si="93"/>
        <v>0</v>
      </c>
      <c r="AF59" s="2">
        <f t="shared" si="94"/>
        <v>0</v>
      </c>
      <c r="AG59" s="2">
        <f t="shared" si="95"/>
        <v>0</v>
      </c>
      <c r="AH59" s="2">
        <f t="shared" si="96"/>
        <v>0</v>
      </c>
      <c r="AI59" s="2">
        <f t="shared" si="46"/>
        <v>59.508321732535784</v>
      </c>
      <c r="AJ59" s="2">
        <f t="shared" si="97"/>
        <v>585.2704879227053</v>
      </c>
      <c r="AK59" s="2">
        <f t="shared" si="98"/>
        <v>614.7295120772947</v>
      </c>
      <c r="AL59" s="2">
        <f t="shared" si="47"/>
        <v>1199.9999999999998</v>
      </c>
      <c r="AM59" s="2">
        <f t="shared" si="99"/>
        <v>78.86432492852542</v>
      </c>
      <c r="AN59" s="2">
        <f t="shared" si="100"/>
        <v>92.2094268115942</v>
      </c>
      <c r="AO59" s="2">
        <f t="shared" si="101"/>
        <v>8.926248259880367</v>
      </c>
      <c r="AP59" s="2">
        <f t="shared" si="102"/>
        <v>0</v>
      </c>
      <c r="AQ59" s="2">
        <f t="shared" si="103"/>
        <v>0</v>
      </c>
      <c r="AR59" s="2">
        <f t="shared" si="104"/>
        <v>0</v>
      </c>
      <c r="AS59" s="2">
        <f t="shared" si="105"/>
        <v>0</v>
      </c>
      <c r="AT59" s="2">
        <f t="shared" si="106"/>
        <v>0</v>
      </c>
      <c r="AU59" s="2">
        <f t="shared" si="48"/>
        <v>180</v>
      </c>
      <c r="AV59" s="2">
        <f t="shared" si="76"/>
        <v>0</v>
      </c>
      <c r="AW59" s="2">
        <f t="shared" si="77"/>
        <v>0</v>
      </c>
      <c r="AX59" s="2">
        <f t="shared" si="78"/>
        <v>1076.41043236715</v>
      </c>
      <c r="AY59" s="2">
        <f t="shared" si="79"/>
        <v>120</v>
      </c>
      <c r="AZ59" s="19"/>
      <c r="BA59" s="2">
        <f t="shared" si="80"/>
        <v>1728.405692604104</v>
      </c>
      <c r="BB59" s="2">
        <f t="shared" si="81"/>
        <v>964.6945104177549</v>
      </c>
      <c r="BC59" s="89">
        <f t="shared" si="69"/>
        <v>400.48993961352653</v>
      </c>
      <c r="BD59" s="88">
        <f t="shared" si="127"/>
        <v>24.768707762001636</v>
      </c>
      <c r="BE59" s="3">
        <f t="shared" si="86"/>
        <v>765.2704879227053</v>
      </c>
      <c r="BF59" s="34">
        <f t="shared" si="87"/>
        <v>53.24504837524739</v>
      </c>
      <c r="BG59" s="3">
        <f t="shared" si="82"/>
        <v>614.7295120772947</v>
      </c>
      <c r="BH59" s="34">
        <f t="shared" si="128"/>
        <v>38.01857208201918</v>
      </c>
      <c r="BI59" s="3">
        <f t="shared" si="49"/>
        <v>1199.9999999999998</v>
      </c>
      <c r="BJ59" s="24">
        <f t="shared" si="107"/>
        <v>1173.5281796030094</v>
      </c>
      <c r="BK59" s="3">
        <f t="shared" si="50"/>
        <v>1199.9999999999998</v>
      </c>
      <c r="BL59" s="3">
        <f t="shared" si="108"/>
        <v>125.23818517502473</v>
      </c>
      <c r="BM59" s="3">
        <f t="shared" si="51"/>
        <v>180</v>
      </c>
      <c r="BN59" s="3">
        <f t="shared" si="109"/>
        <v>180.20383311295228</v>
      </c>
      <c r="BO59" s="3">
        <f t="shared" si="110"/>
        <v>585.2704879227053</v>
      </c>
      <c r="BP59" s="24">
        <f t="shared" si="111"/>
        <v>37.131625267695554</v>
      </c>
      <c r="BQ59" s="3">
        <f t="shared" si="120"/>
        <v>585.2704879227053</v>
      </c>
      <c r="BR59" s="3">
        <f t="shared" si="53"/>
        <v>614.7295120772947</v>
      </c>
      <c r="BS59" s="3">
        <f t="shared" si="112"/>
        <v>10.202191381566521</v>
      </c>
      <c r="BT59" s="3">
        <f t="shared" si="83"/>
        <v>215.64771542956896</v>
      </c>
      <c r="BU59" s="3">
        <f t="shared" si="54"/>
        <v>1199.9999999999998</v>
      </c>
      <c r="BV59" s="3">
        <f t="shared" si="113"/>
        <v>57.98064128473368</v>
      </c>
      <c r="BW59" s="3">
        <f t="shared" si="114"/>
        <v>585.2704879227053</v>
      </c>
      <c r="BX59" s="24">
        <f t="shared" si="115"/>
        <v>24.921348419042374</v>
      </c>
      <c r="BY59" s="3">
        <f t="shared" si="121"/>
        <v>585.2704879227053</v>
      </c>
      <c r="BZ59" s="3">
        <f t="shared" si="57"/>
        <v>614.7295120772947</v>
      </c>
      <c r="CA59" s="3">
        <f t="shared" si="116"/>
        <v>108.89780377871695</v>
      </c>
      <c r="CB59" s="3">
        <f t="shared" si="122"/>
        <v>585.2704879227053</v>
      </c>
      <c r="CC59" s="3">
        <f t="shared" si="59"/>
        <v>614.7295120772947</v>
      </c>
      <c r="CD59" s="3">
        <f t="shared" si="117"/>
        <v>43.45620818367125</v>
      </c>
      <c r="CE59" s="24">
        <f t="shared" si="70"/>
        <v>400.48993961352653</v>
      </c>
      <c r="CF59" s="24">
        <f t="shared" si="129"/>
        <v>57.16911411590723</v>
      </c>
      <c r="CG59" s="90">
        <f t="shared" si="118"/>
        <v>0</v>
      </c>
      <c r="CH59" s="90">
        <f t="shared" si="119"/>
        <v>0</v>
      </c>
      <c r="CI59" s="3"/>
      <c r="CJ59" s="3"/>
      <c r="CK59" s="92" t="s">
        <v>88</v>
      </c>
      <c r="CL59" s="3"/>
      <c r="CM59" s="129">
        <f>BN133</f>
        <v>0.06540706580212753</v>
      </c>
      <c r="CN59" s="117" t="s">
        <v>31</v>
      </c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</row>
    <row r="60" spans="1:92" ht="14.25">
      <c r="A60" s="1">
        <f t="shared" si="73"/>
        <v>2048</v>
      </c>
      <c r="B60" s="47">
        <v>4408.145271</v>
      </c>
      <c r="C60" s="68">
        <f t="shared" si="71"/>
        <v>120</v>
      </c>
      <c r="D60" s="4"/>
      <c r="F60" s="2">
        <f t="shared" si="10"/>
        <v>120</v>
      </c>
      <c r="G60" s="14">
        <f t="shared" si="74"/>
        <v>1076.41043236715</v>
      </c>
      <c r="H60" s="14">
        <f t="shared" si="75"/>
        <v>1196.41043236715</v>
      </c>
      <c r="I60" s="2">
        <f t="shared" si="130"/>
        <v>87.83037538664442</v>
      </c>
      <c r="J60" s="2">
        <f t="shared" si="131"/>
        <v>0</v>
      </c>
      <c r="K60" s="2">
        <f t="shared" si="132"/>
        <v>0</v>
      </c>
      <c r="L60" s="2">
        <f t="shared" si="133"/>
        <v>87.83037538664442</v>
      </c>
      <c r="M60" s="3">
        <f t="shared" si="84"/>
        <v>787.846102874225</v>
      </c>
      <c r="N60" s="3">
        <f t="shared" si="85"/>
        <v>875.6764782608694</v>
      </c>
      <c r="O60" s="2">
        <f t="shared" si="67"/>
        <v>875.6764782608694</v>
      </c>
      <c r="P60" s="14">
        <f t="shared" si="123"/>
        <v>120</v>
      </c>
      <c r="Q60" s="14">
        <f t="shared" si="124"/>
        <v>0</v>
      </c>
      <c r="R60" s="14">
        <f t="shared" si="125"/>
        <v>0</v>
      </c>
      <c r="S60" s="14">
        <f t="shared" si="126"/>
        <v>280.48993961352653</v>
      </c>
      <c r="T60" s="14">
        <f t="shared" si="68"/>
        <v>400.48993961352653</v>
      </c>
      <c r="U60" s="3">
        <f t="shared" si="134"/>
        <v>0</v>
      </c>
      <c r="V60" s="3">
        <f t="shared" si="135"/>
        <v>0</v>
      </c>
      <c r="W60" s="3">
        <f t="shared" si="136"/>
        <v>0</v>
      </c>
      <c r="X60" s="3">
        <f t="shared" si="137"/>
        <v>564.7295120772947</v>
      </c>
      <c r="Y60" s="3">
        <f t="shared" si="138"/>
        <v>564.7295120772947</v>
      </c>
      <c r="Z60" s="1">
        <f t="shared" si="88"/>
        <v>570.3151351193054</v>
      </c>
      <c r="AA60" s="1">
        <f t="shared" si="89"/>
        <v>564.7295120772947</v>
      </c>
      <c r="AB60" s="15">
        <f t="shared" si="90"/>
        <v>1135.0446471966002</v>
      </c>
      <c r="AC60" s="2">
        <f t="shared" si="91"/>
        <v>64.95535280339993</v>
      </c>
      <c r="AD60" s="2">
        <f t="shared" si="92"/>
        <v>0</v>
      </c>
      <c r="AE60" s="2">
        <f t="shared" si="93"/>
        <v>0</v>
      </c>
      <c r="AF60" s="2">
        <f t="shared" si="94"/>
        <v>0</v>
      </c>
      <c r="AG60" s="2">
        <f t="shared" si="95"/>
        <v>0</v>
      </c>
      <c r="AH60" s="2">
        <f t="shared" si="96"/>
        <v>0</v>
      </c>
      <c r="AI60" s="2">
        <f t="shared" si="46"/>
        <v>64.95535280339993</v>
      </c>
      <c r="AJ60" s="2">
        <f t="shared" si="97"/>
        <v>635.2704879227053</v>
      </c>
      <c r="AK60" s="2">
        <f t="shared" si="98"/>
        <v>564.7295120772947</v>
      </c>
      <c r="AL60" s="2">
        <f t="shared" si="47"/>
        <v>1200</v>
      </c>
      <c r="AM60" s="2">
        <f t="shared" si="99"/>
        <v>85.54727026789581</v>
      </c>
      <c r="AN60" s="2">
        <f t="shared" si="100"/>
        <v>84.7094268115942</v>
      </c>
      <c r="AO60" s="2">
        <f t="shared" si="101"/>
        <v>9.74330292050999</v>
      </c>
      <c r="AP60" s="2">
        <f t="shared" si="102"/>
        <v>0</v>
      </c>
      <c r="AQ60" s="2">
        <f t="shared" si="103"/>
        <v>0</v>
      </c>
      <c r="AR60" s="2">
        <f t="shared" si="104"/>
        <v>0</v>
      </c>
      <c r="AS60" s="2">
        <f t="shared" si="105"/>
        <v>0</v>
      </c>
      <c r="AT60" s="2">
        <f t="shared" si="106"/>
        <v>0</v>
      </c>
      <c r="AU60" s="2">
        <f t="shared" si="48"/>
        <v>180</v>
      </c>
      <c r="AV60" s="2">
        <f t="shared" si="76"/>
        <v>0</v>
      </c>
      <c r="AW60" s="2">
        <f t="shared" si="77"/>
        <v>0</v>
      </c>
      <c r="AX60" s="2">
        <f t="shared" si="78"/>
        <v>1076.41043236715</v>
      </c>
      <c r="AY60" s="2">
        <f t="shared" si="79"/>
        <v>120</v>
      </c>
      <c r="AZ60" s="19"/>
      <c r="BA60" s="2">
        <f t="shared" si="80"/>
        <v>1694.5153849059839</v>
      </c>
      <c r="BB60" s="2">
        <f t="shared" si="81"/>
        <v>945.7789317821125</v>
      </c>
      <c r="BC60" s="4">
        <f t="shared" si="69"/>
        <v>400.48993961352653</v>
      </c>
      <c r="BD60" s="11">
        <f t="shared" si="127"/>
        <v>24.283046825491798</v>
      </c>
      <c r="BE60" s="3">
        <f t="shared" si="86"/>
        <v>875.6764782608694</v>
      </c>
      <c r="BF60" s="34">
        <f t="shared" si="87"/>
        <v>59.732098550026315</v>
      </c>
      <c r="BG60" s="3">
        <f t="shared" si="82"/>
        <v>564.7295120772947</v>
      </c>
      <c r="BH60" s="34">
        <f t="shared" si="128"/>
        <v>34.24144236617652</v>
      </c>
      <c r="BI60" s="3">
        <f t="shared" si="49"/>
        <v>1200</v>
      </c>
      <c r="BJ60" s="3">
        <f t="shared" si="107"/>
        <v>1150.5178231402056</v>
      </c>
      <c r="BK60" s="3">
        <f t="shared" si="50"/>
        <v>1200</v>
      </c>
      <c r="BL60" s="3">
        <f t="shared" si="108"/>
        <v>122.78253448531838</v>
      </c>
      <c r="BM60" s="3">
        <f t="shared" si="51"/>
        <v>180</v>
      </c>
      <c r="BN60" s="3">
        <f t="shared" si="109"/>
        <v>176.67042462054147</v>
      </c>
      <c r="BO60" s="3">
        <f t="shared" si="110"/>
        <v>635.2704879227053</v>
      </c>
      <c r="BP60" s="3">
        <f t="shared" si="111"/>
        <v>39.513531103680364</v>
      </c>
      <c r="BQ60" s="3">
        <f t="shared" si="120"/>
        <v>635.2704879227053</v>
      </c>
      <c r="BR60" s="3">
        <f t="shared" si="53"/>
        <v>564.7295120772947</v>
      </c>
      <c r="BS60" s="3">
        <f t="shared" si="112"/>
        <v>9.691150721333997</v>
      </c>
      <c r="BT60" s="3">
        <f t="shared" si="83"/>
        <v>211.41932885251856</v>
      </c>
      <c r="BU60" s="3">
        <f t="shared" si="54"/>
        <v>1200</v>
      </c>
      <c r="BV60" s="3">
        <f t="shared" si="113"/>
        <v>56.84376596542518</v>
      </c>
      <c r="BW60" s="3">
        <f t="shared" si="114"/>
        <v>635.2704879227053</v>
      </c>
      <c r="BX60" s="3">
        <f t="shared" si="115"/>
        <v>26.51999390821712</v>
      </c>
      <c r="BY60" s="3">
        <f t="shared" si="121"/>
        <v>635.2704879227053</v>
      </c>
      <c r="BZ60" s="3">
        <f t="shared" si="57"/>
        <v>564.7295120772947</v>
      </c>
      <c r="CA60" s="3">
        <f t="shared" si="116"/>
        <v>104.61696492903229</v>
      </c>
      <c r="CB60" s="3">
        <f t="shared" si="122"/>
        <v>635.2704879227053</v>
      </c>
      <c r="CC60" s="3">
        <f t="shared" si="59"/>
        <v>564.7295120772947</v>
      </c>
      <c r="CD60" s="3">
        <f t="shared" si="117"/>
        <v>42.35886410648335</v>
      </c>
      <c r="CE60" s="3">
        <f t="shared" si="70"/>
        <v>400.48993961352653</v>
      </c>
      <c r="CF60" s="3">
        <f t="shared" si="129"/>
        <v>56.0481510940267</v>
      </c>
      <c r="CG60" s="34">
        <f t="shared" si="118"/>
        <v>0</v>
      </c>
      <c r="CH60" s="34">
        <f t="shared" si="119"/>
        <v>0</v>
      </c>
      <c r="CK60" s="92" t="s">
        <v>46</v>
      </c>
      <c r="CL60" s="3"/>
      <c r="CM60" s="129">
        <f>SUM(CM58:CM59)</f>
        <v>0.6317169764955319</v>
      </c>
      <c r="CN60" s="117" t="s">
        <v>31</v>
      </c>
    </row>
    <row r="61" spans="1:92" ht="14.25">
      <c r="A61" s="1">
        <f t="shared" si="73"/>
        <v>2049</v>
      </c>
      <c r="B61" s="47">
        <v>4415.670882</v>
      </c>
      <c r="C61" s="68">
        <f t="shared" si="71"/>
        <v>120</v>
      </c>
      <c r="D61" s="4"/>
      <c r="F61" s="2">
        <f t="shared" si="10"/>
        <v>120</v>
      </c>
      <c r="G61" s="14">
        <f t="shared" si="74"/>
        <v>1078.4301884057973</v>
      </c>
      <c r="H61" s="14">
        <f t="shared" si="75"/>
        <v>1198.4301884057973</v>
      </c>
      <c r="I61" s="2">
        <f t="shared" si="130"/>
        <v>101.15456012452579</v>
      </c>
      <c r="J61" s="2">
        <f t="shared" si="131"/>
        <v>0</v>
      </c>
      <c r="K61" s="2">
        <f t="shared" si="132"/>
        <v>0</v>
      </c>
      <c r="L61" s="2">
        <f t="shared" si="133"/>
        <v>101.15456012452579</v>
      </c>
      <c r="M61" s="3">
        <f t="shared" si="84"/>
        <v>907.3651983295805</v>
      </c>
      <c r="N61" s="3">
        <f t="shared" si="85"/>
        <v>1008.5197584541063</v>
      </c>
      <c r="O61" s="2">
        <f t="shared" si="67"/>
        <v>1008.5197584541063</v>
      </c>
      <c r="P61" s="14">
        <f t="shared" si="123"/>
        <v>60.491678267464216</v>
      </c>
      <c r="Q61" s="14">
        <f t="shared" si="124"/>
        <v>0</v>
      </c>
      <c r="R61" s="14">
        <f t="shared" si="125"/>
        <v>0</v>
      </c>
      <c r="S61" s="14">
        <f t="shared" si="126"/>
        <v>534.4502226987194</v>
      </c>
      <c r="T61" s="14">
        <f t="shared" si="68"/>
        <v>594.9419009661835</v>
      </c>
      <c r="U61" s="3">
        <f t="shared" si="134"/>
        <v>0</v>
      </c>
      <c r="V61" s="3">
        <f t="shared" si="135"/>
        <v>0</v>
      </c>
      <c r="W61" s="3">
        <f t="shared" si="136"/>
        <v>0</v>
      </c>
      <c r="X61" s="3">
        <f t="shared" si="137"/>
        <v>434.72951207729466</v>
      </c>
      <c r="Y61" s="3">
        <f t="shared" si="138"/>
        <v>434.72951207729466</v>
      </c>
      <c r="Z61" s="1">
        <f t="shared" si="88"/>
        <v>687.0228509270175</v>
      </c>
      <c r="AA61" s="1">
        <f t="shared" si="89"/>
        <v>434.72951207729466</v>
      </c>
      <c r="AB61" s="15">
        <f t="shared" si="90"/>
        <v>1121.7523630043122</v>
      </c>
      <c r="AC61" s="2">
        <f t="shared" si="91"/>
        <v>78.24763699568781</v>
      </c>
      <c r="AD61" s="2">
        <f t="shared" si="92"/>
        <v>0</v>
      </c>
      <c r="AE61" s="2">
        <f t="shared" si="93"/>
        <v>0</v>
      </c>
      <c r="AF61" s="2">
        <f t="shared" si="94"/>
        <v>0</v>
      </c>
      <c r="AG61" s="2">
        <f t="shared" si="95"/>
        <v>0</v>
      </c>
      <c r="AH61" s="2">
        <f t="shared" si="96"/>
        <v>0</v>
      </c>
      <c r="AI61" s="2">
        <f t="shared" si="46"/>
        <v>78.24763699568781</v>
      </c>
      <c r="AJ61" s="2">
        <f t="shared" si="97"/>
        <v>765.2704879227053</v>
      </c>
      <c r="AK61" s="2">
        <f t="shared" si="98"/>
        <v>434.72951207729466</v>
      </c>
      <c r="AL61" s="2">
        <f t="shared" si="47"/>
        <v>1200</v>
      </c>
      <c r="AM61" s="2">
        <f t="shared" si="99"/>
        <v>103.05342763905263</v>
      </c>
      <c r="AN61" s="2">
        <f t="shared" si="100"/>
        <v>65.2094268115942</v>
      </c>
      <c r="AO61" s="2">
        <f t="shared" si="101"/>
        <v>11.737145549353171</v>
      </c>
      <c r="AP61" s="2">
        <f t="shared" si="102"/>
        <v>0</v>
      </c>
      <c r="AQ61" s="2">
        <f t="shared" si="103"/>
        <v>0</v>
      </c>
      <c r="AR61" s="2">
        <f t="shared" si="104"/>
        <v>0</v>
      </c>
      <c r="AS61" s="2">
        <f t="shared" si="105"/>
        <v>0</v>
      </c>
      <c r="AT61" s="2">
        <f t="shared" si="106"/>
        <v>0</v>
      </c>
      <c r="AU61" s="2">
        <f t="shared" si="48"/>
        <v>180</v>
      </c>
      <c r="AV61" s="2">
        <f t="shared" si="76"/>
        <v>0</v>
      </c>
      <c r="AW61" s="2">
        <f t="shared" si="77"/>
        <v>0</v>
      </c>
      <c r="AX61" s="2">
        <f t="shared" si="78"/>
        <v>1078.4301884057973</v>
      </c>
      <c r="AY61" s="2">
        <f t="shared" si="79"/>
        <v>120</v>
      </c>
      <c r="AZ61" s="19"/>
      <c r="BA61" s="2">
        <f t="shared" si="80"/>
        <v>1664.1257562082733</v>
      </c>
      <c r="BB61" s="2">
        <f t="shared" si="81"/>
        <v>928.9740915299053</v>
      </c>
      <c r="BC61" s="4">
        <f t="shared" si="69"/>
        <v>594.9419009661835</v>
      </c>
      <c r="BD61" s="11">
        <f t="shared" si="127"/>
        <v>35.366000712728784</v>
      </c>
      <c r="BE61" s="3">
        <f t="shared" si="86"/>
        <v>1008.5197584541063</v>
      </c>
      <c r="BF61" s="34">
        <f t="shared" si="87"/>
        <v>67.44477778949687</v>
      </c>
      <c r="BG61" s="3">
        <f t="shared" si="82"/>
        <v>434.72951207729466</v>
      </c>
      <c r="BH61" s="34">
        <f t="shared" si="128"/>
        <v>25.842261587226368</v>
      </c>
      <c r="BI61" s="3">
        <f t="shared" si="49"/>
        <v>1200</v>
      </c>
      <c r="BJ61" s="3">
        <f t="shared" si="107"/>
        <v>1127.9586501374563</v>
      </c>
      <c r="BK61" s="3">
        <f t="shared" si="50"/>
        <v>1200</v>
      </c>
      <c r="BL61" s="3">
        <f t="shared" si="108"/>
        <v>120.37503380913567</v>
      </c>
      <c r="BM61" s="3">
        <f t="shared" si="51"/>
        <v>180</v>
      </c>
      <c r="BN61" s="3">
        <f t="shared" si="109"/>
        <v>173.20629864758965</v>
      </c>
      <c r="BO61" s="3">
        <f t="shared" si="110"/>
        <v>765.2704879227053</v>
      </c>
      <c r="BP61" s="3">
        <f t="shared" si="111"/>
        <v>46.666148132166384</v>
      </c>
      <c r="BQ61" s="3">
        <f t="shared" si="120"/>
        <v>765.2704879227053</v>
      </c>
      <c r="BR61" s="3">
        <f t="shared" si="53"/>
        <v>434.72951207729466</v>
      </c>
      <c r="BS61" s="3">
        <f t="shared" si="112"/>
        <v>8.708388943353983</v>
      </c>
      <c r="BT61" s="3">
        <f t="shared" si="83"/>
        <v>207.62771093002704</v>
      </c>
      <c r="BU61" s="3">
        <f t="shared" si="54"/>
        <v>1200</v>
      </c>
      <c r="BV61" s="3">
        <f t="shared" si="113"/>
        <v>55.72918231904429</v>
      </c>
      <c r="BW61" s="3">
        <f t="shared" si="114"/>
        <v>765.2704879227053</v>
      </c>
      <c r="BX61" s="3">
        <f t="shared" si="115"/>
        <v>31.32056107407061</v>
      </c>
      <c r="BY61" s="3">
        <f t="shared" si="121"/>
        <v>765.2704879227053</v>
      </c>
      <c r="BZ61" s="3">
        <f t="shared" si="57"/>
        <v>434.72951207729466</v>
      </c>
      <c r="CA61" s="3">
        <f t="shared" si="116"/>
        <v>97.0965065308944</v>
      </c>
      <c r="CB61" s="3">
        <f t="shared" si="122"/>
        <v>765.2704879227053</v>
      </c>
      <c r="CC61" s="3">
        <f t="shared" si="59"/>
        <v>434.72951207729466</v>
      </c>
      <c r="CD61" s="3">
        <f t="shared" si="117"/>
        <v>40.9031216084791</v>
      </c>
      <c r="CE61" s="3">
        <f t="shared" si="70"/>
        <v>594.9419009661835</v>
      </c>
      <c r="CF61" s="3">
        <f t="shared" si="129"/>
        <v>81.62892267117033</v>
      </c>
      <c r="CG61" s="34">
        <f t="shared" si="118"/>
        <v>0</v>
      </c>
      <c r="CH61" s="34">
        <f t="shared" si="119"/>
        <v>0</v>
      </c>
      <c r="CK61" s="92" t="s">
        <v>0</v>
      </c>
      <c r="CL61" s="4"/>
      <c r="CM61" s="129">
        <f>BJ133+BL133+IF($L$3&gt;0,BF133+BH133,BF133)</f>
        <v>0.6251644362230797</v>
      </c>
      <c r="CN61" s="117" t="s">
        <v>31</v>
      </c>
    </row>
    <row r="62" spans="1:92" ht="14.25">
      <c r="A62" s="1">
        <f t="shared" si="73"/>
        <v>2050</v>
      </c>
      <c r="B62" s="47">
        <v>4370.087682</v>
      </c>
      <c r="C62" s="68">
        <f t="shared" si="71"/>
        <v>120</v>
      </c>
      <c r="D62" s="4"/>
      <c r="F62" s="2">
        <f t="shared" si="10"/>
        <v>120</v>
      </c>
      <c r="G62" s="14">
        <f t="shared" si="74"/>
        <v>1066.1963719806763</v>
      </c>
      <c r="H62" s="14">
        <f t="shared" si="75"/>
        <v>1186.1963719806763</v>
      </c>
      <c r="I62" s="2">
        <f t="shared" si="130"/>
        <v>100.5144407569985</v>
      </c>
      <c r="J62" s="2">
        <f t="shared" si="131"/>
        <v>0</v>
      </c>
      <c r="K62" s="2">
        <f t="shared" si="132"/>
        <v>0</v>
      </c>
      <c r="L62" s="2">
        <f t="shared" si="133"/>
        <v>100.5144407569985</v>
      </c>
      <c r="M62" s="3">
        <f>IF((O62-L62)&lt;G61,O62-L62,G61)</f>
        <v>903.315060692277</v>
      </c>
      <c r="N62" s="3">
        <f t="shared" si="85"/>
        <v>1003.8295014492755</v>
      </c>
      <c r="O62" s="2">
        <f t="shared" si="67"/>
        <v>1003.8295014492755</v>
      </c>
      <c r="P62" s="14">
        <f t="shared" si="123"/>
        <v>55.04464719660007</v>
      </c>
      <c r="Q62" s="14">
        <f t="shared" si="124"/>
        <v>0</v>
      </c>
      <c r="R62" s="14">
        <f t="shared" si="125"/>
        <v>0</v>
      </c>
      <c r="S62" s="14">
        <f t="shared" si="126"/>
        <v>483.29805087103284</v>
      </c>
      <c r="T62" s="14">
        <f t="shared" si="68"/>
        <v>538.3426980676329</v>
      </c>
      <c r="U62" s="3">
        <f t="shared" si="134"/>
        <v>0</v>
      </c>
      <c r="V62" s="3">
        <f t="shared" si="135"/>
        <v>0</v>
      </c>
      <c r="W62" s="3">
        <f t="shared" si="136"/>
        <v>0</v>
      </c>
      <c r="X62" s="3">
        <f t="shared" si="137"/>
        <v>324.32352173913057</v>
      </c>
      <c r="Y62" s="3">
        <f t="shared" si="138"/>
        <v>324.32352173913057</v>
      </c>
      <c r="Z62" s="1">
        <f t="shared" si="88"/>
        <v>787.846102874225</v>
      </c>
      <c r="AA62" s="1">
        <f t="shared" si="89"/>
        <v>324.32352173913057</v>
      </c>
      <c r="AB62" s="15">
        <f t="shared" si="90"/>
        <v>1112.1696246133556</v>
      </c>
      <c r="AC62" s="2">
        <f t="shared" si="91"/>
        <v>87.83037538664442</v>
      </c>
      <c r="AD62" s="2">
        <f t="shared" si="92"/>
        <v>0</v>
      </c>
      <c r="AE62" s="2">
        <f t="shared" si="93"/>
        <v>0</v>
      </c>
      <c r="AF62" s="2">
        <f t="shared" si="94"/>
        <v>0</v>
      </c>
      <c r="AG62" s="2">
        <f t="shared" si="95"/>
        <v>0</v>
      </c>
      <c r="AH62" s="2">
        <f t="shared" si="96"/>
        <v>0</v>
      </c>
      <c r="AI62" s="2">
        <f t="shared" si="46"/>
        <v>87.83037538664442</v>
      </c>
      <c r="AJ62" s="2">
        <f t="shared" si="97"/>
        <v>875.6764782608694</v>
      </c>
      <c r="AK62" s="2">
        <f t="shared" si="98"/>
        <v>324.32352173913057</v>
      </c>
      <c r="AL62" s="2">
        <f>AB62+AI62</f>
        <v>1200</v>
      </c>
      <c r="AM62" s="2">
        <f t="shared" si="99"/>
        <v>118.17691543113375</v>
      </c>
      <c r="AN62" s="2">
        <f t="shared" si="100"/>
        <v>48.64852826086958</v>
      </c>
      <c r="AO62" s="2">
        <f t="shared" si="101"/>
        <v>13.174556307996662</v>
      </c>
      <c r="AP62" s="2">
        <f t="shared" si="102"/>
        <v>0</v>
      </c>
      <c r="AQ62" s="2">
        <f t="shared" si="103"/>
        <v>0</v>
      </c>
      <c r="AR62" s="2">
        <f t="shared" si="104"/>
        <v>0</v>
      </c>
      <c r="AS62" s="2">
        <f t="shared" si="105"/>
        <v>0</v>
      </c>
      <c r="AT62" s="2">
        <f t="shared" si="106"/>
        <v>0</v>
      </c>
      <c r="AU62" s="2">
        <f t="shared" si="48"/>
        <v>179.99999999999997</v>
      </c>
      <c r="AV62" s="2">
        <f t="shared" si="76"/>
        <v>0</v>
      </c>
      <c r="AW62" s="2">
        <f t="shared" si="77"/>
        <v>0</v>
      </c>
      <c r="AX62" s="2">
        <f t="shared" si="78"/>
        <v>1066.1963719806763</v>
      </c>
      <c r="AY62" s="2">
        <f t="shared" si="79"/>
        <v>120</v>
      </c>
      <c r="AZ62" s="19"/>
      <c r="BA62" s="2">
        <f t="shared" si="80"/>
        <v>1614.6538230797082</v>
      </c>
      <c r="BB62" s="2">
        <f t="shared" si="81"/>
        <v>900.4271760115108</v>
      </c>
      <c r="BC62" s="4">
        <f t="shared" si="69"/>
        <v>538.3426980676329</v>
      </c>
      <c r="BD62" s="11">
        <f t="shared" si="127"/>
        <v>31.374011368091328</v>
      </c>
      <c r="BE62" s="3">
        <f t="shared" si="86"/>
        <v>1003.8295014492755</v>
      </c>
      <c r="BF62" s="34">
        <f t="shared" si="87"/>
        <v>65.8148203570612</v>
      </c>
      <c r="BG62" s="3">
        <f t="shared" si="82"/>
        <v>324.32352173913057</v>
      </c>
      <c r="BH62" s="34">
        <f t="shared" si="128"/>
        <v>18.901212730305396</v>
      </c>
      <c r="BI62" s="3">
        <f t="shared" si="49"/>
        <v>1200</v>
      </c>
      <c r="BJ62" s="3">
        <f t="shared" si="107"/>
        <v>1105.8418138602515</v>
      </c>
      <c r="BK62" s="3">
        <f t="shared" si="50"/>
        <v>1200</v>
      </c>
      <c r="BL62" s="3">
        <f t="shared" si="108"/>
        <v>118.01473902856439</v>
      </c>
      <c r="BM62" s="3">
        <f t="shared" si="51"/>
        <v>179.99999999999997</v>
      </c>
      <c r="BN62" s="3">
        <f t="shared" si="109"/>
        <v>169.81009671332316</v>
      </c>
      <c r="BO62" s="3">
        <f t="shared" si="110"/>
        <v>875.6764782608694</v>
      </c>
      <c r="BP62" s="3">
        <f t="shared" si="111"/>
        <v>52.35166544569295</v>
      </c>
      <c r="BQ62" s="3">
        <f t="shared" si="120"/>
        <v>875.6764782608694</v>
      </c>
      <c r="BR62" s="3">
        <f t="shared" si="53"/>
        <v>324.32352173913057</v>
      </c>
      <c r="BS62" s="3">
        <f t="shared" si="112"/>
        <v>7.877582236382294</v>
      </c>
      <c r="BT62" s="3">
        <f t="shared" si="83"/>
        <v>201.45525419564444</v>
      </c>
      <c r="BU62" s="3">
        <f t="shared" si="54"/>
        <v>1200</v>
      </c>
      <c r="BV62" s="3">
        <f t="shared" si="113"/>
        <v>54.636453253964994</v>
      </c>
      <c r="BW62" s="3">
        <f t="shared" si="114"/>
        <v>875.6764782608694</v>
      </c>
      <c r="BX62" s="3">
        <f t="shared" si="115"/>
        <v>35.13646616552278</v>
      </c>
      <c r="BY62" s="3">
        <f t="shared" si="121"/>
        <v>875.6764782608694</v>
      </c>
      <c r="BZ62" s="3">
        <f t="shared" si="57"/>
        <v>324.32352173913057</v>
      </c>
      <c r="CA62" s="3">
        <f t="shared" si="116"/>
        <v>90.63890979794465</v>
      </c>
      <c r="CB62" s="3">
        <f t="shared" si="122"/>
        <v>875.6764782608694</v>
      </c>
      <c r="CC62" s="3">
        <f t="shared" si="59"/>
        <v>324.32352173913057</v>
      </c>
      <c r="CD62" s="3">
        <f t="shared" si="117"/>
        <v>39.5805624027515</v>
      </c>
      <c r="CE62" s="3">
        <f t="shared" si="70"/>
        <v>538.3426980676329</v>
      </c>
      <c r="CF62" s="3">
        <f t="shared" si="129"/>
        <v>72.41493796974878</v>
      </c>
      <c r="CG62" s="34">
        <f t="shared" si="118"/>
        <v>0</v>
      </c>
      <c r="CH62" s="34">
        <f t="shared" si="119"/>
        <v>0</v>
      </c>
      <c r="CK62" s="92" t="s">
        <v>98</v>
      </c>
      <c r="CL62" s="4"/>
      <c r="CM62" s="129">
        <f>BP133+BS133+BT133</f>
        <v>0.15721308727346717</v>
      </c>
      <c r="CN62" s="117" t="s">
        <v>31</v>
      </c>
    </row>
    <row r="63" spans="1:92" ht="14.25">
      <c r="A63" s="1">
        <f t="shared" si="73"/>
        <v>2051</v>
      </c>
      <c r="B63" s="47">
        <v>4357.363833</v>
      </c>
      <c r="C63" s="68">
        <f t="shared" si="71"/>
        <v>120</v>
      </c>
      <c r="D63" s="4"/>
      <c r="E63" s="4"/>
      <c r="F63" s="2">
        <f t="shared" si="10"/>
        <v>120</v>
      </c>
      <c r="G63" s="14">
        <f t="shared" si="74"/>
        <v>1062.7814903381643</v>
      </c>
      <c r="H63" s="14">
        <f t="shared" si="75"/>
        <v>1182.7814903381643</v>
      </c>
      <c r="I63" s="2">
        <f t="shared" si="130"/>
        <v>101.55109475910234</v>
      </c>
      <c r="J63" s="2">
        <f t="shared" si="131"/>
        <v>0</v>
      </c>
      <c r="K63" s="2">
        <f t="shared" si="132"/>
        <v>0</v>
      </c>
      <c r="L63" s="2">
        <f t="shared" si="133"/>
        <v>101.55109475910234</v>
      </c>
      <c r="M63" s="3">
        <f t="shared" si="84"/>
        <v>902.2784066901731</v>
      </c>
      <c r="N63" s="3">
        <f t="shared" si="85"/>
        <v>1003.8295014492755</v>
      </c>
      <c r="O63" s="2">
        <f t="shared" si="67"/>
        <v>1003.8295014492755</v>
      </c>
      <c r="P63" s="14">
        <f t="shared" si="123"/>
        <v>41.75236300431219</v>
      </c>
      <c r="Q63" s="14">
        <f t="shared" si="124"/>
        <v>0</v>
      </c>
      <c r="R63" s="14">
        <f t="shared" si="125"/>
        <v>0</v>
      </c>
      <c r="S63" s="14">
        <f t="shared" si="126"/>
        <v>366.5903350633207</v>
      </c>
      <c r="T63" s="14">
        <f t="shared" si="68"/>
        <v>408.3426980676329</v>
      </c>
      <c r="U63" s="3">
        <f t="shared" si="134"/>
        <v>0</v>
      </c>
      <c r="V63" s="3">
        <f t="shared" si="135"/>
        <v>0</v>
      </c>
      <c r="W63" s="3">
        <f t="shared" si="136"/>
        <v>0</v>
      </c>
      <c r="X63" s="3">
        <f t="shared" si="137"/>
        <v>191.4802415458937</v>
      </c>
      <c r="Y63" s="3">
        <f t="shared" si="138"/>
        <v>191.4802415458937</v>
      </c>
      <c r="Z63" s="1">
        <f t="shared" si="88"/>
        <v>907.3651983295805</v>
      </c>
      <c r="AA63" s="1">
        <f t="shared" si="89"/>
        <v>191.4802415458937</v>
      </c>
      <c r="AB63" s="15">
        <f t="shared" si="90"/>
        <v>1098.8454398754743</v>
      </c>
      <c r="AC63" s="2">
        <f t="shared" si="91"/>
        <v>101.15456012452579</v>
      </c>
      <c r="AD63" s="2">
        <f t="shared" si="92"/>
        <v>0</v>
      </c>
      <c r="AE63" s="2">
        <f t="shared" si="93"/>
        <v>0</v>
      </c>
      <c r="AF63" s="2">
        <f t="shared" si="94"/>
        <v>0</v>
      </c>
      <c r="AG63" s="2">
        <f t="shared" si="95"/>
        <v>0</v>
      </c>
      <c r="AH63" s="2">
        <f t="shared" si="96"/>
        <v>0</v>
      </c>
      <c r="AI63" s="2">
        <f t="shared" si="46"/>
        <v>101.15456012452579</v>
      </c>
      <c r="AJ63" s="2">
        <f t="shared" si="97"/>
        <v>1008.5197584541063</v>
      </c>
      <c r="AK63" s="2">
        <f t="shared" si="98"/>
        <v>191.4802415458937</v>
      </c>
      <c r="AL63" s="2">
        <f t="shared" si="47"/>
        <v>1200</v>
      </c>
      <c r="AM63" s="2">
        <f t="shared" si="99"/>
        <v>136.10477974943706</v>
      </c>
      <c r="AN63" s="2">
        <f t="shared" si="100"/>
        <v>28.722036231884054</v>
      </c>
      <c r="AO63" s="2">
        <f t="shared" si="101"/>
        <v>15.173184018678867</v>
      </c>
      <c r="AP63" s="2">
        <f t="shared" si="102"/>
        <v>0</v>
      </c>
      <c r="AQ63" s="2">
        <f t="shared" si="103"/>
        <v>0</v>
      </c>
      <c r="AR63" s="2">
        <f t="shared" si="104"/>
        <v>0</v>
      </c>
      <c r="AS63" s="2">
        <f t="shared" si="105"/>
        <v>0</v>
      </c>
      <c r="AT63" s="2">
        <f t="shared" si="106"/>
        <v>0</v>
      </c>
      <c r="AU63" s="2">
        <f t="shared" si="48"/>
        <v>180</v>
      </c>
      <c r="AV63" s="2">
        <f t="shared" si="76"/>
        <v>0</v>
      </c>
      <c r="AW63" s="2">
        <f t="shared" si="77"/>
        <v>0</v>
      </c>
      <c r="AX63" s="2">
        <f t="shared" si="78"/>
        <v>1062.7814903381643</v>
      </c>
      <c r="AY63" s="2">
        <f t="shared" si="79"/>
        <v>120</v>
      </c>
      <c r="AZ63" s="19"/>
      <c r="BA63" s="2">
        <f t="shared" si="80"/>
        <v>1578.3849346336224</v>
      </c>
      <c r="BB63" s="2">
        <f t="shared" si="81"/>
        <v>879.9443436344231</v>
      </c>
      <c r="BC63" s="4">
        <f t="shared" si="69"/>
        <v>408.3426980676329</v>
      </c>
      <c r="BD63" s="11">
        <f t="shared" si="127"/>
        <v>23.331133840073374</v>
      </c>
      <c r="BE63" s="3">
        <f t="shared" si="86"/>
        <v>1003.8295014492755</v>
      </c>
      <c r="BF63" s="34">
        <f t="shared" si="87"/>
        <v>64.52433368339332</v>
      </c>
      <c r="BG63" s="3">
        <f t="shared" si="82"/>
        <v>191.4802415458937</v>
      </c>
      <c r="BH63" s="34">
        <f t="shared" si="128"/>
        <v>10.940445768658975</v>
      </c>
      <c r="BI63" s="3">
        <f t="shared" si="49"/>
        <v>1200</v>
      </c>
      <c r="BJ63" s="3">
        <f t="shared" si="107"/>
        <v>1084.158641039462</v>
      </c>
      <c r="BK63" s="3">
        <f t="shared" si="50"/>
        <v>1200</v>
      </c>
      <c r="BL63" s="3">
        <f t="shared" si="108"/>
        <v>115.70072453780821</v>
      </c>
      <c r="BM63" s="3">
        <f t="shared" si="51"/>
        <v>180</v>
      </c>
      <c r="BN63" s="3">
        <f t="shared" si="109"/>
        <v>166.48048697384624</v>
      </c>
      <c r="BO63" s="3">
        <f t="shared" si="110"/>
        <v>1008.5197584541063</v>
      </c>
      <c r="BP63" s="3">
        <f t="shared" si="111"/>
        <v>59.111374430244034</v>
      </c>
      <c r="BQ63" s="3">
        <f t="shared" si="120"/>
        <v>1008.5197584541063</v>
      </c>
      <c r="BR63" s="3">
        <f t="shared" si="53"/>
        <v>191.4802415458937</v>
      </c>
      <c r="BS63" s="3">
        <f t="shared" si="112"/>
        <v>6.9444986167320515</v>
      </c>
      <c r="BT63" s="3">
        <f t="shared" si="83"/>
        <v>196.9300996164644</v>
      </c>
      <c r="BU63" s="3">
        <f t="shared" si="54"/>
        <v>1200</v>
      </c>
      <c r="BV63" s="3">
        <f t="shared" si="113"/>
        <v>53.56515024898528</v>
      </c>
      <c r="BW63" s="3">
        <f t="shared" si="114"/>
        <v>1008.5197584541063</v>
      </c>
      <c r="BX63" s="3">
        <f t="shared" si="115"/>
        <v>39.673328250089</v>
      </c>
      <c r="BY63" s="3">
        <f t="shared" si="121"/>
        <v>1008.5197584541063</v>
      </c>
      <c r="BZ63" s="3">
        <f t="shared" si="57"/>
        <v>191.4802415458937</v>
      </c>
      <c r="CA63" s="3">
        <f t="shared" si="116"/>
        <v>83.48993160685063</v>
      </c>
      <c r="CB63" s="3">
        <f t="shared" si="122"/>
        <v>1008.5197584541063</v>
      </c>
      <c r="CC63" s="3">
        <f t="shared" si="59"/>
        <v>191.4802415458937</v>
      </c>
      <c r="CD63" s="3">
        <f t="shared" si="117"/>
        <v>38.19043025595232</v>
      </c>
      <c r="CE63" s="3">
        <f t="shared" si="70"/>
        <v>408.3426980676329</v>
      </c>
      <c r="CF63" s="3">
        <f t="shared" si="129"/>
        <v>53.851023063985195</v>
      </c>
      <c r="CG63" s="34">
        <f t="shared" si="118"/>
        <v>0</v>
      </c>
      <c r="CH63" s="34">
        <f t="shared" si="119"/>
        <v>0</v>
      </c>
      <c r="CK63" s="92" t="s">
        <v>99</v>
      </c>
      <c r="CL63" s="4"/>
      <c r="CM63" s="129">
        <f>BV133+BX133+CA133+CD133</f>
        <v>0.10509294044639231</v>
      </c>
      <c r="CN63" s="117" t="s">
        <v>31</v>
      </c>
    </row>
    <row r="64" spans="1:92" ht="14.25">
      <c r="A64" s="1">
        <f t="shared" si="73"/>
        <v>2052</v>
      </c>
      <c r="B64" s="47">
        <v>4357.363833</v>
      </c>
      <c r="C64" s="68">
        <f t="shared" si="71"/>
        <v>171.07375174011963</v>
      </c>
      <c r="D64" s="4">
        <f>(AO59+AP59)</f>
        <v>8.926248259880367</v>
      </c>
      <c r="F64" s="2">
        <f t="shared" si="10"/>
        <v>180</v>
      </c>
      <c r="G64" s="14">
        <f t="shared" si="74"/>
        <v>1009.448157004831</v>
      </c>
      <c r="H64" s="14">
        <f t="shared" si="75"/>
        <v>1189.448157004831</v>
      </c>
      <c r="I64" s="4">
        <f t="shared" si="130"/>
        <v>99.99395956722718</v>
      </c>
      <c r="J64" s="2">
        <f t="shared" si="131"/>
        <v>0</v>
      </c>
      <c r="K64" s="2">
        <f t="shared" si="132"/>
        <v>0</v>
      </c>
      <c r="L64" s="2">
        <f t="shared" si="133"/>
        <v>99.99395956722718</v>
      </c>
      <c r="M64" s="3">
        <f t="shared" si="84"/>
        <v>885.5977447805986</v>
      </c>
      <c r="N64" s="3">
        <f t="shared" si="85"/>
        <v>985.5917043478258</v>
      </c>
      <c r="O64" s="2">
        <f t="shared" si="67"/>
        <v>985.5917043478258</v>
      </c>
      <c r="P64" s="14">
        <f t="shared" si="123"/>
        <v>32.16962461335558</v>
      </c>
      <c r="Q64" s="14">
        <f t="shared" si="124"/>
        <v>0</v>
      </c>
      <c r="R64" s="14">
        <f t="shared" si="125"/>
        <v>0</v>
      </c>
      <c r="S64" s="14">
        <f t="shared" si="126"/>
        <v>288.5643294929249</v>
      </c>
      <c r="T64" s="14">
        <f t="shared" si="68"/>
        <v>320.7339541062805</v>
      </c>
      <c r="U64" s="3">
        <f t="shared" si="134"/>
        <v>0</v>
      </c>
      <c r="V64" s="3">
        <f t="shared" si="135"/>
        <v>0</v>
      </c>
      <c r="W64" s="3">
        <f t="shared" si="136"/>
        <v>0</v>
      </c>
      <c r="X64" s="3">
        <f t="shared" si="137"/>
        <v>196.17049855072446</v>
      </c>
      <c r="Y64" s="3">
        <f t="shared" si="138"/>
        <v>196.17049855072446</v>
      </c>
      <c r="Z64" s="1">
        <f t="shared" si="88"/>
        <v>903.315060692277</v>
      </c>
      <c r="AA64" s="1">
        <f t="shared" si="89"/>
        <v>196.17049855072446</v>
      </c>
      <c r="AB64" s="15">
        <f t="shared" si="90"/>
        <v>1099.4855592430015</v>
      </c>
      <c r="AC64" s="2">
        <f t="shared" si="91"/>
        <v>100.5144407569985</v>
      </c>
      <c r="AD64" s="2">
        <f t="shared" si="92"/>
        <v>0</v>
      </c>
      <c r="AE64" s="2">
        <f t="shared" si="93"/>
        <v>0</v>
      </c>
      <c r="AF64" s="2">
        <f t="shared" si="94"/>
        <v>0</v>
      </c>
      <c r="AG64" s="2">
        <f t="shared" si="95"/>
        <v>0</v>
      </c>
      <c r="AH64" s="2">
        <f t="shared" si="96"/>
        <v>0</v>
      </c>
      <c r="AI64" s="2">
        <f t="shared" si="46"/>
        <v>100.5144407569985</v>
      </c>
      <c r="AJ64" s="2">
        <f t="shared" si="97"/>
        <v>1003.8295014492755</v>
      </c>
      <c r="AK64" s="2">
        <f t="shared" si="98"/>
        <v>196.17049855072446</v>
      </c>
      <c r="AL64" s="2">
        <f t="shared" si="47"/>
        <v>1200</v>
      </c>
      <c r="AM64" s="2">
        <f t="shared" si="99"/>
        <v>135.49725910384154</v>
      </c>
      <c r="AN64" s="2">
        <f t="shared" si="100"/>
        <v>29.425574782608667</v>
      </c>
      <c r="AO64" s="2">
        <f t="shared" si="101"/>
        <v>15.077166113549774</v>
      </c>
      <c r="AP64" s="2">
        <f t="shared" si="102"/>
        <v>0</v>
      </c>
      <c r="AQ64" s="2">
        <f t="shared" si="103"/>
        <v>0</v>
      </c>
      <c r="AR64" s="2">
        <f t="shared" si="104"/>
        <v>0</v>
      </c>
      <c r="AS64" s="2">
        <f t="shared" si="105"/>
        <v>0</v>
      </c>
      <c r="AT64" s="2">
        <f t="shared" si="106"/>
        <v>0</v>
      </c>
      <c r="AU64" s="2">
        <f t="shared" si="48"/>
        <v>179.99999999999997</v>
      </c>
      <c r="AV64" s="2">
        <f t="shared" si="76"/>
        <v>0</v>
      </c>
      <c r="AW64" s="2">
        <f t="shared" si="77"/>
        <v>0</v>
      </c>
      <c r="AX64" s="2">
        <f t="shared" si="78"/>
        <v>1009.448157004831</v>
      </c>
      <c r="AY64" s="2">
        <f t="shared" si="79"/>
        <v>180</v>
      </c>
      <c r="AZ64" s="19"/>
      <c r="BA64" s="2">
        <f t="shared" si="80"/>
        <v>1547.43621042512</v>
      </c>
      <c r="BB64" s="2">
        <f t="shared" si="81"/>
        <v>819.3983208156569</v>
      </c>
      <c r="BC64" s="4">
        <f t="shared" si="69"/>
        <v>320.7339541062805</v>
      </c>
      <c r="BD64" s="11">
        <f t="shared" si="127"/>
        <v>17.966182945520593</v>
      </c>
      <c r="BE64" s="3">
        <f t="shared" si="86"/>
        <v>985.5917043478258</v>
      </c>
      <c r="BF64" s="34">
        <f t="shared" si="87"/>
        <v>62.10984438534679</v>
      </c>
      <c r="BG64" s="3">
        <f t="shared" si="82"/>
        <v>196.17049855072446</v>
      </c>
      <c r="BH64" s="34">
        <f t="shared" si="128"/>
        <v>10.988655926052711</v>
      </c>
      <c r="BI64" s="3">
        <f t="shared" si="49"/>
        <v>1200</v>
      </c>
      <c r="BJ64" s="3">
        <f t="shared" si="107"/>
        <v>1062.900628470061</v>
      </c>
      <c r="BK64" s="3">
        <f t="shared" si="50"/>
        <v>1200</v>
      </c>
      <c r="BL64" s="3">
        <f t="shared" si="108"/>
        <v>113.43208288020415</v>
      </c>
      <c r="BM64" s="3">
        <f t="shared" si="51"/>
        <v>179.99999999999997</v>
      </c>
      <c r="BN64" s="3">
        <f t="shared" si="109"/>
        <v>163.21616369984926</v>
      </c>
      <c r="BO64" s="3">
        <f t="shared" si="110"/>
        <v>1003.8295014492755</v>
      </c>
      <c r="BP64" s="3">
        <f t="shared" si="111"/>
        <v>57.682812764657704</v>
      </c>
      <c r="BQ64" s="3">
        <f t="shared" si="120"/>
        <v>1003.8295014492755</v>
      </c>
      <c r="BR64" s="3">
        <f t="shared" si="53"/>
        <v>196.17049855072446</v>
      </c>
      <c r="BS64" s="3">
        <f t="shared" si="112"/>
        <v>6.835283488001345</v>
      </c>
      <c r="BT64" s="3">
        <f t="shared" si="83"/>
        <v>193.06872511418078</v>
      </c>
      <c r="BU64" s="3">
        <f t="shared" si="54"/>
        <v>1200</v>
      </c>
      <c r="BV64" s="3">
        <f t="shared" si="113"/>
        <v>52.51485318527969</v>
      </c>
      <c r="BW64" s="3">
        <f t="shared" si="114"/>
        <v>1003.8295014492755</v>
      </c>
      <c r="BX64" s="3">
        <f t="shared" si="115"/>
        <v>38.71453146299716</v>
      </c>
      <c r="BY64" s="3">
        <f t="shared" si="121"/>
        <v>1003.8295014492755</v>
      </c>
      <c r="BZ64" s="3">
        <f t="shared" si="57"/>
        <v>196.17049855072446</v>
      </c>
      <c r="CA64" s="3">
        <f t="shared" si="116"/>
        <v>82.03881387297389</v>
      </c>
      <c r="CB64" s="3">
        <f t="shared" si="122"/>
        <v>1003.8295014492755</v>
      </c>
      <c r="CC64" s="3">
        <f t="shared" si="59"/>
        <v>196.17049855072446</v>
      </c>
      <c r="CD64" s="3">
        <f t="shared" si="117"/>
        <v>37.46285301280184</v>
      </c>
      <c r="CE64" s="3">
        <f t="shared" si="70"/>
        <v>320.7339541062805</v>
      </c>
      <c r="CF64" s="3">
        <f t="shared" si="129"/>
        <v>41.468080325750876</v>
      </c>
      <c r="CG64" s="34">
        <f t="shared" si="118"/>
        <v>0</v>
      </c>
      <c r="CH64" s="34">
        <f t="shared" si="119"/>
        <v>0</v>
      </c>
      <c r="CK64" s="92" t="s">
        <v>1</v>
      </c>
      <c r="CL64" s="4"/>
      <c r="CM64" s="129">
        <f>CF133+BD133</f>
        <v>0.03796754818724783</v>
      </c>
      <c r="CN64" s="117" t="s">
        <v>31</v>
      </c>
    </row>
    <row r="65" spans="1:92" ht="14.25">
      <c r="A65" s="1">
        <f t="shared" si="73"/>
        <v>2053</v>
      </c>
      <c r="B65" s="47">
        <v>4417.546806</v>
      </c>
      <c r="C65" s="68">
        <f t="shared" si="71"/>
        <v>170.25669707949</v>
      </c>
      <c r="D65" s="4">
        <f aca="true" t="shared" si="139" ref="D65:D72">(AO60+AP60)</f>
        <v>9.74330292050999</v>
      </c>
      <c r="F65" s="2">
        <f t="shared" si="10"/>
        <v>180</v>
      </c>
      <c r="G65" s="14">
        <f t="shared" si="74"/>
        <v>1025.6003236714978</v>
      </c>
      <c r="H65" s="14">
        <f t="shared" si="75"/>
        <v>1205.6003236714978</v>
      </c>
      <c r="I65" s="2">
        <f t="shared" si="130"/>
        <v>142.06152648201518</v>
      </c>
      <c r="J65" s="2">
        <f t="shared" si="131"/>
        <v>7.412454807692464</v>
      </c>
      <c r="K65" s="2">
        <f t="shared" si="132"/>
        <v>0</v>
      </c>
      <c r="L65" s="2">
        <f t="shared" si="133"/>
        <v>149.47398128970764</v>
      </c>
      <c r="M65" s="3">
        <f t="shared" si="84"/>
        <v>838.2568607392777</v>
      </c>
      <c r="N65" s="3">
        <f t="shared" si="85"/>
        <v>987.7308420289853</v>
      </c>
      <c r="O65" s="2">
        <f t="shared" si="67"/>
        <v>987.7308420289854</v>
      </c>
      <c r="P65" s="14">
        <f t="shared" si="123"/>
        <v>18.845439875474213</v>
      </c>
      <c r="Q65" s="14">
        <f t="shared" si="124"/>
        <v>0</v>
      </c>
      <c r="R65" s="14">
        <f t="shared" si="125"/>
        <v>0</v>
      </c>
      <c r="S65" s="14">
        <f t="shared" si="126"/>
        <v>169.04523403756946</v>
      </c>
      <c r="T65" s="14">
        <f t="shared" si="68"/>
        <v>187.89067391304366</v>
      </c>
      <c r="U65" s="3">
        <f t="shared" si="134"/>
        <v>0</v>
      </c>
      <c r="V65" s="3">
        <f t="shared" si="135"/>
        <v>0</v>
      </c>
      <c r="W65" s="3">
        <f t="shared" si="136"/>
        <v>0</v>
      </c>
      <c r="X65" s="3">
        <f t="shared" si="137"/>
        <v>196.17049855072446</v>
      </c>
      <c r="Y65" s="3">
        <f t="shared" si="138"/>
        <v>196.17049855072446</v>
      </c>
      <c r="Z65" s="1">
        <f t="shared" si="88"/>
        <v>902.2784066901731</v>
      </c>
      <c r="AA65" s="1">
        <f t="shared" si="89"/>
        <v>196.17049855072446</v>
      </c>
      <c r="AB65" s="15">
        <f t="shared" si="90"/>
        <v>1098.4489052408976</v>
      </c>
      <c r="AC65" s="2">
        <f t="shared" si="91"/>
        <v>101.55109475910234</v>
      </c>
      <c r="AD65" s="2">
        <f t="shared" si="92"/>
        <v>0</v>
      </c>
      <c r="AE65" s="2">
        <f t="shared" si="93"/>
        <v>0</v>
      </c>
      <c r="AF65" s="2">
        <f t="shared" si="94"/>
        <v>0</v>
      </c>
      <c r="AG65" s="2">
        <f t="shared" si="95"/>
        <v>0</v>
      </c>
      <c r="AH65" s="2">
        <f t="shared" si="96"/>
        <v>0</v>
      </c>
      <c r="AI65" s="2">
        <f t="shared" si="46"/>
        <v>101.55109475910234</v>
      </c>
      <c r="AJ65" s="2">
        <f t="shared" si="97"/>
        <v>1003.8295014492755</v>
      </c>
      <c r="AK65" s="2">
        <f t="shared" si="98"/>
        <v>196.17049855072446</v>
      </c>
      <c r="AL65" s="2">
        <f t="shared" si="47"/>
        <v>1200</v>
      </c>
      <c r="AM65" s="2">
        <f t="shared" si="99"/>
        <v>135.34176100352596</v>
      </c>
      <c r="AN65" s="2">
        <f t="shared" si="100"/>
        <v>29.425574782608667</v>
      </c>
      <c r="AO65" s="2">
        <f t="shared" si="101"/>
        <v>15.23266421386535</v>
      </c>
      <c r="AP65" s="2">
        <f t="shared" si="102"/>
        <v>0</v>
      </c>
      <c r="AQ65" s="2">
        <f t="shared" si="103"/>
        <v>0</v>
      </c>
      <c r="AR65" s="2">
        <f t="shared" si="104"/>
        <v>0</v>
      </c>
      <c r="AS65" s="2">
        <f t="shared" si="105"/>
        <v>0</v>
      </c>
      <c r="AT65" s="2">
        <f t="shared" si="106"/>
        <v>0</v>
      </c>
      <c r="AU65" s="2">
        <f t="shared" si="48"/>
        <v>179.99999999999997</v>
      </c>
      <c r="AV65" s="2">
        <f t="shared" si="76"/>
        <v>0</v>
      </c>
      <c r="AW65" s="2">
        <f t="shared" si="77"/>
        <v>0</v>
      </c>
      <c r="AX65" s="2">
        <f t="shared" si="78"/>
        <v>1025.6003236714978</v>
      </c>
      <c r="AY65" s="2">
        <f t="shared" si="79"/>
        <v>180</v>
      </c>
      <c r="AZ65" s="19"/>
      <c r="BA65" s="2">
        <f t="shared" si="80"/>
        <v>1538.048104772353</v>
      </c>
      <c r="BB65" s="2">
        <f t="shared" si="81"/>
        <v>816.185786819857</v>
      </c>
      <c r="BC65" s="4">
        <f t="shared" si="69"/>
        <v>187.89067391304366</v>
      </c>
      <c r="BD65" s="11">
        <f t="shared" si="127"/>
        <v>10.318484868420128</v>
      </c>
      <c r="BE65" s="3">
        <f t="shared" si="86"/>
        <v>987.7308420289853</v>
      </c>
      <c r="BF65" s="34">
        <f t="shared" si="87"/>
        <v>61.024164889088055</v>
      </c>
      <c r="BG65" s="3">
        <f t="shared" si="82"/>
        <v>196.17049855072446</v>
      </c>
      <c r="BH65" s="34">
        <f t="shared" si="128"/>
        <v>10.773192084365402</v>
      </c>
      <c r="BI65" s="3">
        <f t="shared" si="49"/>
        <v>1200</v>
      </c>
      <c r="BJ65" s="3">
        <f t="shared" si="107"/>
        <v>1042.0594396765302</v>
      </c>
      <c r="BK65" s="3">
        <f t="shared" si="50"/>
        <v>1200</v>
      </c>
      <c r="BL65" s="3">
        <f t="shared" si="108"/>
        <v>111.20792439235699</v>
      </c>
      <c r="BM65" s="3">
        <f t="shared" si="51"/>
        <v>179.99999999999997</v>
      </c>
      <c r="BN65" s="3">
        <f t="shared" si="109"/>
        <v>160.0158467645581</v>
      </c>
      <c r="BO65" s="3">
        <f t="shared" si="110"/>
        <v>1003.8295014492755</v>
      </c>
      <c r="BP65" s="3">
        <f t="shared" si="111"/>
        <v>56.551777220252646</v>
      </c>
      <c r="BQ65" s="3">
        <f t="shared" si="120"/>
        <v>1003.8295014492755</v>
      </c>
      <c r="BR65" s="3">
        <f t="shared" si="53"/>
        <v>196.17049855072446</v>
      </c>
      <c r="BS65" s="3">
        <f t="shared" si="112"/>
        <v>6.701258321569945</v>
      </c>
      <c r="BT65" s="3">
        <f t="shared" si="83"/>
        <v>191.89740084413611</v>
      </c>
      <c r="BU65" s="3">
        <f t="shared" si="54"/>
        <v>1200</v>
      </c>
      <c r="BV65" s="3">
        <f t="shared" si="113"/>
        <v>51.48515018164676</v>
      </c>
      <c r="BW65" s="3">
        <f t="shared" si="114"/>
        <v>1003.8295014492755</v>
      </c>
      <c r="BX65" s="3">
        <f t="shared" si="115"/>
        <v>37.95542300293838</v>
      </c>
      <c r="BY65" s="3">
        <f t="shared" si="121"/>
        <v>1003.8295014492755</v>
      </c>
      <c r="BZ65" s="3">
        <f t="shared" si="57"/>
        <v>196.17049855072446</v>
      </c>
      <c r="CA65" s="3">
        <f t="shared" si="116"/>
        <v>80.43020967938614</v>
      </c>
      <c r="CB65" s="3">
        <f t="shared" si="122"/>
        <v>1003.8295014492755</v>
      </c>
      <c r="CC65" s="3">
        <f t="shared" si="59"/>
        <v>196.17049855072446</v>
      </c>
      <c r="CD65" s="3">
        <f t="shared" si="117"/>
        <v>36.72828726745277</v>
      </c>
      <c r="CE65" s="3">
        <f t="shared" si="70"/>
        <v>187.89067391304366</v>
      </c>
      <c r="CF65" s="3">
        <f t="shared" si="129"/>
        <v>23.81628644555095</v>
      </c>
      <c r="CG65" s="34">
        <f t="shared" si="118"/>
        <v>0</v>
      </c>
      <c r="CH65" s="34">
        <f t="shared" si="119"/>
        <v>0</v>
      </c>
      <c r="CK65" s="93" t="s">
        <v>85</v>
      </c>
      <c r="CL65" s="34"/>
      <c r="CM65" s="130">
        <f>CG133+CH133+IF($L$3&gt;0,0,BH133)</f>
        <v>0</v>
      </c>
      <c r="CN65" s="117" t="s">
        <v>31</v>
      </c>
    </row>
    <row r="66" spans="1:92" ht="14.25">
      <c r="A66" s="1">
        <f t="shared" si="73"/>
        <v>2054</v>
      </c>
      <c r="B66" s="47">
        <v>4418.028936</v>
      </c>
      <c r="C66" s="68">
        <f t="shared" si="71"/>
        <v>168.26285445064684</v>
      </c>
      <c r="D66" s="4">
        <f t="shared" si="139"/>
        <v>11.737145549353171</v>
      </c>
      <c r="F66" s="2">
        <f t="shared" si="10"/>
        <v>180</v>
      </c>
      <c r="G66" s="14">
        <f t="shared" si="74"/>
        <v>1025.7297198067631</v>
      </c>
      <c r="H66" s="14">
        <f t="shared" si="75"/>
        <v>1205.7297198067631</v>
      </c>
      <c r="I66" s="2">
        <f t="shared" si="130"/>
        <v>139.3711555043367</v>
      </c>
      <c r="J66" s="2">
        <f t="shared" si="131"/>
        <v>7.975811875560222</v>
      </c>
      <c r="K66" s="2">
        <f t="shared" si="132"/>
        <v>0</v>
      </c>
      <c r="L66" s="2">
        <f t="shared" si="133"/>
        <v>147.34696737989694</v>
      </c>
      <c r="M66" s="3">
        <f t="shared" si="84"/>
        <v>839.5505413157551</v>
      </c>
      <c r="N66" s="3">
        <f t="shared" si="85"/>
        <v>986.897508695652</v>
      </c>
      <c r="O66" s="2">
        <f t="shared" si="67"/>
        <v>986.897508695652</v>
      </c>
      <c r="P66" s="14">
        <f t="shared" si="123"/>
        <v>19.485559243001504</v>
      </c>
      <c r="Q66" s="14">
        <f t="shared" si="124"/>
        <v>0</v>
      </c>
      <c r="R66" s="14">
        <f t="shared" si="125"/>
        <v>0</v>
      </c>
      <c r="S66" s="14">
        <f t="shared" si="126"/>
        <v>175.11512771352022</v>
      </c>
      <c r="T66" s="14">
        <f t="shared" si="68"/>
        <v>194.6006869565217</v>
      </c>
      <c r="U66" s="3">
        <f t="shared" si="134"/>
        <v>0</v>
      </c>
      <c r="V66" s="3">
        <f t="shared" si="135"/>
        <v>0</v>
      </c>
      <c r="W66" s="3">
        <f t="shared" si="136"/>
        <v>0</v>
      </c>
      <c r="X66" s="3">
        <f t="shared" si="137"/>
        <v>214.40829565217416</v>
      </c>
      <c r="Y66" s="3">
        <f t="shared" si="138"/>
        <v>214.40829565217416</v>
      </c>
      <c r="Z66" s="1">
        <f t="shared" si="88"/>
        <v>885.5977447805986</v>
      </c>
      <c r="AA66" s="1">
        <f t="shared" si="89"/>
        <v>214.40829565217416</v>
      </c>
      <c r="AB66" s="15">
        <f t="shared" si="90"/>
        <v>1100.0060404327728</v>
      </c>
      <c r="AC66" s="2">
        <f t="shared" si="91"/>
        <v>99.99395956722718</v>
      </c>
      <c r="AD66" s="2">
        <f t="shared" si="92"/>
        <v>0</v>
      </c>
      <c r="AE66" s="2">
        <f t="shared" si="93"/>
        <v>0</v>
      </c>
      <c r="AF66" s="2">
        <f t="shared" si="94"/>
        <v>0</v>
      </c>
      <c r="AG66" s="2">
        <f t="shared" si="95"/>
        <v>0</v>
      </c>
      <c r="AH66" s="2">
        <f t="shared" si="96"/>
        <v>0</v>
      </c>
      <c r="AI66" s="2">
        <f t="shared" si="46"/>
        <v>99.99395956722718</v>
      </c>
      <c r="AJ66" s="2">
        <f t="shared" si="97"/>
        <v>985.5917043478258</v>
      </c>
      <c r="AK66" s="2">
        <f t="shared" si="98"/>
        <v>214.40829565217416</v>
      </c>
      <c r="AL66" s="2">
        <f t="shared" si="47"/>
        <v>1200</v>
      </c>
      <c r="AM66" s="2">
        <f t="shared" si="99"/>
        <v>132.8396617170898</v>
      </c>
      <c r="AN66" s="2">
        <f t="shared" si="100"/>
        <v>32.16124434782612</v>
      </c>
      <c r="AO66" s="2">
        <f t="shared" si="101"/>
        <v>14.999093935084076</v>
      </c>
      <c r="AP66" s="2">
        <f t="shared" si="102"/>
        <v>0</v>
      </c>
      <c r="AQ66" s="2">
        <f t="shared" si="103"/>
        <v>0</v>
      </c>
      <c r="AR66" s="2">
        <f t="shared" si="104"/>
        <v>0</v>
      </c>
      <c r="AS66" s="2">
        <f t="shared" si="105"/>
        <v>0</v>
      </c>
      <c r="AT66" s="2">
        <f t="shared" si="106"/>
        <v>0</v>
      </c>
      <c r="AU66" s="2">
        <f t="shared" si="48"/>
        <v>180</v>
      </c>
      <c r="AV66" s="2">
        <f t="shared" si="76"/>
        <v>0</v>
      </c>
      <c r="AW66" s="2">
        <f t="shared" si="77"/>
        <v>0</v>
      </c>
      <c r="AX66" s="2">
        <f t="shared" si="78"/>
        <v>1025.7297198067631</v>
      </c>
      <c r="AY66" s="2">
        <f t="shared" si="79"/>
        <v>180</v>
      </c>
      <c r="AZ66" s="19"/>
      <c r="BA66" s="2">
        <f t="shared" si="80"/>
        <v>1508.0548695823575</v>
      </c>
      <c r="BB66" s="2">
        <f t="shared" si="81"/>
        <v>800.2830999124265</v>
      </c>
      <c r="BC66" s="4">
        <f t="shared" si="69"/>
        <v>194.6006869565217</v>
      </c>
      <c r="BD66" s="11">
        <f t="shared" si="127"/>
        <v>10.477433300296106</v>
      </c>
      <c r="BE66" s="3">
        <f t="shared" si="86"/>
        <v>986.897508695652</v>
      </c>
      <c r="BF66" s="34">
        <f t="shared" si="87"/>
        <v>59.77713699892787</v>
      </c>
      <c r="BG66" s="3">
        <f t="shared" si="82"/>
        <v>214.40829565217416</v>
      </c>
      <c r="BH66" s="34">
        <f t="shared" si="128"/>
        <v>11.54388842022809</v>
      </c>
      <c r="BI66" s="3">
        <f t="shared" si="49"/>
        <v>1200</v>
      </c>
      <c r="BJ66" s="3">
        <f t="shared" si="107"/>
        <v>1021.6269016436573</v>
      </c>
      <c r="BK66" s="3">
        <f t="shared" si="50"/>
        <v>1200</v>
      </c>
      <c r="BL66" s="3">
        <f t="shared" si="108"/>
        <v>109.02737685525199</v>
      </c>
      <c r="BM66" s="3">
        <f t="shared" si="51"/>
        <v>180</v>
      </c>
      <c r="BN66" s="3">
        <f t="shared" si="109"/>
        <v>156.8782811417237</v>
      </c>
      <c r="BO66" s="3">
        <f t="shared" si="110"/>
        <v>985.5917043478258</v>
      </c>
      <c r="BP66" s="3">
        <f t="shared" si="111"/>
        <v>54.43561959274734</v>
      </c>
      <c r="BQ66" s="3">
        <f t="shared" si="120"/>
        <v>985.5917043478258</v>
      </c>
      <c r="BR66" s="3">
        <f t="shared" si="53"/>
        <v>214.40829565217416</v>
      </c>
      <c r="BS66" s="3">
        <f t="shared" si="112"/>
        <v>6.670591024642142</v>
      </c>
      <c r="BT66" s="3">
        <f t="shared" si="83"/>
        <v>188.15523968675214</v>
      </c>
      <c r="BU66" s="3">
        <f t="shared" si="54"/>
        <v>1200</v>
      </c>
      <c r="BV66" s="3">
        <f t="shared" si="113"/>
        <v>50.475637432987035</v>
      </c>
      <c r="BW66" s="3">
        <f t="shared" si="114"/>
        <v>985.5917043478258</v>
      </c>
      <c r="BX66" s="3">
        <f t="shared" si="115"/>
        <v>36.53513770261905</v>
      </c>
      <c r="BY66" s="3">
        <f t="shared" si="121"/>
        <v>985.5917043478258</v>
      </c>
      <c r="BZ66" s="3">
        <f t="shared" si="57"/>
        <v>214.40829565217416</v>
      </c>
      <c r="CA66" s="3">
        <f t="shared" si="116"/>
        <v>79.54808726467056</v>
      </c>
      <c r="CB66" s="3">
        <f t="shared" si="122"/>
        <v>985.5917043478258</v>
      </c>
      <c r="CC66" s="3">
        <f t="shared" si="59"/>
        <v>214.40829565217416</v>
      </c>
      <c r="CD66" s="3">
        <f t="shared" si="117"/>
        <v>36.087563235959394</v>
      </c>
      <c r="CE66" s="3">
        <f t="shared" si="70"/>
        <v>194.6006869565217</v>
      </c>
      <c r="CF66" s="3">
        <f t="shared" si="129"/>
        <v>24.18315827139577</v>
      </c>
      <c r="CG66" s="34">
        <f t="shared" si="118"/>
        <v>0</v>
      </c>
      <c r="CH66" s="34">
        <f t="shared" si="119"/>
        <v>0</v>
      </c>
      <c r="CK66" s="92" t="s">
        <v>100</v>
      </c>
      <c r="CL66" s="4"/>
      <c r="CM66" s="131">
        <f>SUM(CM61:CM65)</f>
        <v>0.925438012130187</v>
      </c>
      <c r="CN66" s="117" t="s">
        <v>31</v>
      </c>
    </row>
    <row r="67" spans="1:92" ht="14.25">
      <c r="A67" s="1">
        <f t="shared" si="73"/>
        <v>2055</v>
      </c>
      <c r="B67" s="47">
        <v>4474.898361</v>
      </c>
      <c r="C67" s="68">
        <f t="shared" si="71"/>
        <v>166.82544369200332</v>
      </c>
      <c r="D67" s="4">
        <f t="shared" si="139"/>
        <v>13.174556307996662</v>
      </c>
      <c r="F67" s="2">
        <f t="shared" si="10"/>
        <v>179.99999999999997</v>
      </c>
      <c r="G67" s="14">
        <f t="shared" si="74"/>
        <v>1040.9925821256036</v>
      </c>
      <c r="H67" s="14">
        <f t="shared" si="75"/>
        <v>1220.9925821256036</v>
      </c>
      <c r="I67" s="2">
        <f t="shared" si="130"/>
        <v>133.56229944515917</v>
      </c>
      <c r="J67" s="2">
        <f t="shared" si="131"/>
        <v>9.316614493509201</v>
      </c>
      <c r="K67" s="2">
        <f t="shared" si="132"/>
        <v>0</v>
      </c>
      <c r="L67" s="2">
        <f t="shared" si="133"/>
        <v>142.87891393866838</v>
      </c>
      <c r="M67" s="3">
        <f t="shared" si="84"/>
        <v>814.1952686700273</v>
      </c>
      <c r="N67" s="3">
        <f t="shared" si="85"/>
        <v>957.0741826086957</v>
      </c>
      <c r="O67" s="2">
        <f t="shared" si="67"/>
        <v>957.0741826086957</v>
      </c>
      <c r="P67" s="14">
        <f t="shared" si="123"/>
        <v>18.44890524089766</v>
      </c>
      <c r="Q67" s="14">
        <f t="shared" si="124"/>
        <v>0</v>
      </c>
      <c r="R67" s="14">
        <f t="shared" si="125"/>
        <v>0</v>
      </c>
      <c r="S67" s="14">
        <f t="shared" si="126"/>
        <v>163.91796529050316</v>
      </c>
      <c r="T67" s="14">
        <f t="shared" si="68"/>
        <v>182.36687053140082</v>
      </c>
      <c r="U67" s="3">
        <f t="shared" si="134"/>
        <v>45</v>
      </c>
      <c r="V67" s="3">
        <f t="shared" si="135"/>
        <v>0</v>
      </c>
      <c r="W67" s="3">
        <f t="shared" si="136"/>
        <v>0</v>
      </c>
      <c r="X67" s="3">
        <f t="shared" si="137"/>
        <v>167.26915797101458</v>
      </c>
      <c r="Y67" s="3">
        <f t="shared" si="138"/>
        <v>212.26915797101458</v>
      </c>
      <c r="Z67" s="1">
        <f t="shared" si="88"/>
        <v>838.2568607392777</v>
      </c>
      <c r="AA67" s="1">
        <f t="shared" si="89"/>
        <v>167.26915797101458</v>
      </c>
      <c r="AB67" s="15">
        <f t="shared" si="90"/>
        <v>1005.5260187102923</v>
      </c>
      <c r="AC67" s="2">
        <f t="shared" si="91"/>
        <v>142.06152648201518</v>
      </c>
      <c r="AD67" s="2">
        <f t="shared" si="92"/>
        <v>45</v>
      </c>
      <c r="AE67" s="2">
        <f t="shared" si="93"/>
        <v>7.412454807692464</v>
      </c>
      <c r="AF67" s="2">
        <f t="shared" si="94"/>
        <v>0</v>
      </c>
      <c r="AG67" s="2">
        <f t="shared" si="95"/>
        <v>0</v>
      </c>
      <c r="AH67" s="2">
        <f t="shared" si="96"/>
        <v>0</v>
      </c>
      <c r="AI67" s="2">
        <f t="shared" si="46"/>
        <v>194.47398128970764</v>
      </c>
      <c r="AJ67" s="2">
        <f t="shared" si="97"/>
        <v>987.7308420289854</v>
      </c>
      <c r="AK67" s="2">
        <f t="shared" si="98"/>
        <v>212.26915797101458</v>
      </c>
      <c r="AL67" s="2">
        <f t="shared" si="47"/>
        <v>1200</v>
      </c>
      <c r="AM67" s="2">
        <f t="shared" si="99"/>
        <v>125.73852911089165</v>
      </c>
      <c r="AN67" s="2">
        <f t="shared" si="100"/>
        <v>25.090373695652186</v>
      </c>
      <c r="AO67" s="2">
        <f t="shared" si="101"/>
        <v>21.309228972302275</v>
      </c>
      <c r="AP67" s="2">
        <f t="shared" si="102"/>
        <v>6.75</v>
      </c>
      <c r="AQ67" s="2">
        <f t="shared" si="103"/>
        <v>1.1118682211538695</v>
      </c>
      <c r="AR67" s="2">
        <f t="shared" si="104"/>
        <v>0</v>
      </c>
      <c r="AS67" s="2">
        <f t="shared" si="105"/>
        <v>0</v>
      </c>
      <c r="AT67" s="2">
        <f t="shared" si="106"/>
        <v>0</v>
      </c>
      <c r="AU67" s="2">
        <f t="shared" si="48"/>
        <v>179.99999999999994</v>
      </c>
      <c r="AV67" s="2">
        <f t="shared" si="76"/>
        <v>0</v>
      </c>
      <c r="AW67" s="2">
        <f t="shared" si="77"/>
        <v>0</v>
      </c>
      <c r="AX67" s="2">
        <f t="shared" si="78"/>
        <v>1040.9925821256036</v>
      </c>
      <c r="AY67" s="2">
        <f t="shared" si="79"/>
        <v>179.99999999999997</v>
      </c>
      <c r="AZ67" s="19"/>
      <c r="BA67" s="2">
        <f t="shared" si="80"/>
        <v>1497.5164135609493</v>
      </c>
      <c r="BB67" s="2">
        <f t="shared" si="81"/>
        <v>796.2659957144178</v>
      </c>
      <c r="BC67" s="4">
        <f t="shared" si="69"/>
        <v>182.36687053140082</v>
      </c>
      <c r="BD67" s="11">
        <f t="shared" si="127"/>
        <v>9.626231672398928</v>
      </c>
      <c r="BE67" s="3">
        <f t="shared" si="86"/>
        <v>957.0741826086957</v>
      </c>
      <c r="BF67" s="34">
        <f t="shared" si="87"/>
        <v>56.83403463273992</v>
      </c>
      <c r="BG67" s="3">
        <f t="shared" si="82"/>
        <v>212.26915797101458</v>
      </c>
      <c r="BH67" s="34">
        <f t="shared" si="128"/>
        <v>11.204623326484057</v>
      </c>
      <c r="BI67" s="3">
        <f t="shared" si="49"/>
        <v>1200</v>
      </c>
      <c r="BJ67" s="3">
        <f t="shared" si="107"/>
        <v>1001.5950016114289</v>
      </c>
      <c r="BK67" s="3">
        <f t="shared" si="50"/>
        <v>1200</v>
      </c>
      <c r="BL67" s="3">
        <f t="shared" si="108"/>
        <v>106.88958515220781</v>
      </c>
      <c r="BM67" s="3">
        <f t="shared" si="51"/>
        <v>179.99999999999994</v>
      </c>
      <c r="BN67" s="3">
        <f t="shared" si="109"/>
        <v>153.80223641345452</v>
      </c>
      <c r="BO67" s="3">
        <f t="shared" si="110"/>
        <v>987.7308420289854</v>
      </c>
      <c r="BP67" s="3">
        <f t="shared" si="111"/>
        <v>53.484085473754604</v>
      </c>
      <c r="BQ67" s="3">
        <f t="shared" si="120"/>
        <v>987.7308420289854</v>
      </c>
      <c r="BR67" s="3">
        <f t="shared" si="53"/>
        <v>212.26915797101458</v>
      </c>
      <c r="BS67" s="3">
        <f t="shared" si="112"/>
        <v>6.528212025092062</v>
      </c>
      <c r="BT67" s="3">
        <f t="shared" si="83"/>
        <v>186.8403898370345</v>
      </c>
      <c r="BU67" s="3">
        <f t="shared" si="54"/>
        <v>1200</v>
      </c>
      <c r="BV67" s="3">
        <f t="shared" si="113"/>
        <v>49.48591905194806</v>
      </c>
      <c r="BW67" s="3">
        <f t="shared" si="114"/>
        <v>987.7308420289854</v>
      </c>
      <c r="BX67" s="3">
        <f t="shared" si="115"/>
        <v>35.896503838869094</v>
      </c>
      <c r="BY67" s="3">
        <f t="shared" si="121"/>
        <v>987.7308420289854</v>
      </c>
      <c r="BZ67" s="3">
        <f t="shared" si="57"/>
        <v>212.26915797101458</v>
      </c>
      <c r="CA67" s="3">
        <f t="shared" si="116"/>
        <v>77.90840851259776</v>
      </c>
      <c r="CB67" s="3">
        <f t="shared" si="122"/>
        <v>987.7308420289854</v>
      </c>
      <c r="CC67" s="3">
        <f t="shared" si="59"/>
        <v>212.26915797101458</v>
      </c>
      <c r="CD67" s="3">
        <f t="shared" si="117"/>
        <v>35.37082919928912</v>
      </c>
      <c r="CE67" s="3">
        <f t="shared" si="70"/>
        <v>182.36687053140082</v>
      </c>
      <c r="CF67" s="3">
        <f t="shared" si="129"/>
        <v>22.218483994946265</v>
      </c>
      <c r="CG67" s="34">
        <f t="shared" si="118"/>
        <v>0</v>
      </c>
      <c r="CH67" s="34">
        <f t="shared" si="119"/>
        <v>0</v>
      </c>
      <c r="CK67" s="94" t="s">
        <v>47</v>
      </c>
      <c r="CL67" s="32"/>
      <c r="CM67" s="132">
        <f>CM60+CM66</f>
        <v>1.5571549886257188</v>
      </c>
      <c r="CN67" s="118" t="s">
        <v>31</v>
      </c>
    </row>
    <row r="68" spans="1:86" ht="14.25">
      <c r="A68" s="1">
        <f t="shared" si="73"/>
        <v>2056</v>
      </c>
      <c r="B68" s="47">
        <v>4492.202445000001</v>
      </c>
      <c r="C68" s="68">
        <f t="shared" si="71"/>
        <v>164.82681598132112</v>
      </c>
      <c r="D68" s="4">
        <f t="shared" si="139"/>
        <v>15.173184018678867</v>
      </c>
      <c r="F68" s="2">
        <f t="shared" si="10"/>
        <v>180</v>
      </c>
      <c r="G68" s="14">
        <f t="shared" si="74"/>
        <v>1045.6367270531402</v>
      </c>
      <c r="H68" s="14">
        <f t="shared" si="75"/>
        <v>1225.6367270531402</v>
      </c>
      <c r="I68" s="2">
        <f t="shared" si="130"/>
        <v>130.40165815981413</v>
      </c>
      <c r="J68" s="2">
        <f t="shared" si="131"/>
        <v>10.298093324747164</v>
      </c>
      <c r="K68" s="2">
        <f t="shared" si="132"/>
        <v>0</v>
      </c>
      <c r="L68" s="2">
        <f t="shared" si="133"/>
        <v>140.6997514845613</v>
      </c>
      <c r="M68" s="3">
        <f t="shared" si="84"/>
        <v>813.7077644574678</v>
      </c>
      <c r="N68" s="3">
        <f t="shared" si="85"/>
        <v>954.407515942029</v>
      </c>
      <c r="O68" s="2">
        <f t="shared" si="67"/>
        <v>954.407515942029</v>
      </c>
      <c r="P68" s="14">
        <f t="shared" si="123"/>
        <v>20.00604043277282</v>
      </c>
      <c r="Q68" s="14">
        <f t="shared" si="124"/>
        <v>0</v>
      </c>
      <c r="R68" s="14">
        <f t="shared" si="125"/>
        <v>0</v>
      </c>
      <c r="S68" s="14">
        <f t="shared" si="126"/>
        <v>177.18374555756566</v>
      </c>
      <c r="T68" s="14">
        <f t="shared" si="68"/>
        <v>197.18978599033846</v>
      </c>
      <c r="U68" s="3">
        <f t="shared" si="134"/>
        <v>52.5</v>
      </c>
      <c r="V68" s="3">
        <f t="shared" si="135"/>
        <v>0</v>
      </c>
      <c r="W68" s="3">
        <f t="shared" si="136"/>
        <v>0</v>
      </c>
      <c r="X68" s="3">
        <f t="shared" si="137"/>
        <v>160.60249130434795</v>
      </c>
      <c r="Y68" s="3">
        <f t="shared" si="138"/>
        <v>213.10249130434795</v>
      </c>
      <c r="Z68" s="1">
        <f t="shared" si="88"/>
        <v>839.5505413157551</v>
      </c>
      <c r="AA68" s="1">
        <f t="shared" si="89"/>
        <v>160.60249130434795</v>
      </c>
      <c r="AB68" s="15">
        <f t="shared" si="90"/>
        <v>1000.1530326201031</v>
      </c>
      <c r="AC68" s="2">
        <f t="shared" si="91"/>
        <v>139.3711555043367</v>
      </c>
      <c r="AD68" s="2">
        <f t="shared" si="92"/>
        <v>52.5</v>
      </c>
      <c r="AE68" s="2">
        <f t="shared" si="93"/>
        <v>7.975811875560222</v>
      </c>
      <c r="AF68" s="2">
        <f t="shared" si="94"/>
        <v>0</v>
      </c>
      <c r="AG68" s="2">
        <f t="shared" si="95"/>
        <v>0</v>
      </c>
      <c r="AH68" s="2">
        <f t="shared" si="96"/>
        <v>0</v>
      </c>
      <c r="AI68" s="2">
        <f t="shared" si="46"/>
        <v>199.84696737989694</v>
      </c>
      <c r="AJ68" s="2">
        <f t="shared" si="97"/>
        <v>986.897508695652</v>
      </c>
      <c r="AK68" s="2">
        <f t="shared" si="98"/>
        <v>213.10249130434795</v>
      </c>
      <c r="AL68" s="2">
        <f t="shared" si="47"/>
        <v>1200</v>
      </c>
      <c r="AM68" s="19"/>
      <c r="AN68" s="19"/>
      <c r="AO68" s="19"/>
      <c r="AP68" s="19"/>
      <c r="AQ68" s="19"/>
      <c r="AR68" s="19"/>
      <c r="AS68" s="19"/>
      <c r="AT68" s="19"/>
      <c r="AU68" s="23"/>
      <c r="AV68" s="2">
        <f t="shared" si="76"/>
        <v>0</v>
      </c>
      <c r="AW68" s="2">
        <f t="shared" si="77"/>
        <v>0</v>
      </c>
      <c r="AX68" s="2">
        <f t="shared" si="78"/>
        <v>1045.6367270531402</v>
      </c>
      <c r="AY68" s="2">
        <f t="shared" si="79"/>
        <v>180</v>
      </c>
      <c r="AZ68" s="19"/>
      <c r="BA68" s="2">
        <f t="shared" si="80"/>
        <v>1473.830581458194</v>
      </c>
      <c r="BB68" s="2">
        <f t="shared" si="81"/>
        <v>784.1356374664213</v>
      </c>
      <c r="BC68" s="4">
        <f t="shared" si="69"/>
        <v>197.18978599033846</v>
      </c>
      <c r="BD68" s="11">
        <f t="shared" si="127"/>
        <v>10.2045676207988</v>
      </c>
      <c r="BE68" s="3">
        <f t="shared" si="86"/>
        <v>954.407515942029</v>
      </c>
      <c r="BF68" s="34">
        <f t="shared" si="87"/>
        <v>55.56439185468009</v>
      </c>
      <c r="BG68" s="3">
        <f t="shared" si="82"/>
        <v>213.10249130434795</v>
      </c>
      <c r="BH68" s="34">
        <f t="shared" si="128"/>
        <v>11.028049813809599</v>
      </c>
      <c r="BI68" s="3">
        <f t="shared" si="49"/>
        <v>1200</v>
      </c>
      <c r="BJ68" s="3">
        <f t="shared" si="107"/>
        <v>981.9558839327733</v>
      </c>
      <c r="BK68" s="3">
        <f t="shared" si="50"/>
        <v>1200</v>
      </c>
      <c r="BL68" s="3">
        <f t="shared" si="108"/>
        <v>104.79371093353708</v>
      </c>
      <c r="BM68" s="21"/>
      <c r="BN68" s="21"/>
      <c r="BO68" s="3">
        <f t="shared" si="110"/>
        <v>986.897508695652</v>
      </c>
      <c r="BP68" s="3">
        <f t="shared" si="111"/>
        <v>52.39113899285307</v>
      </c>
      <c r="BQ68" s="3">
        <f t="shared" si="120"/>
        <v>986.897508695652</v>
      </c>
      <c r="BR68" s="3">
        <f t="shared" si="53"/>
        <v>213.10249130434795</v>
      </c>
      <c r="BS68" s="3">
        <f t="shared" si="112"/>
        <v>6.404631759996579</v>
      </c>
      <c r="BT68" s="3">
        <f t="shared" si="83"/>
        <v>183.88518342753008</v>
      </c>
      <c r="BU68" s="3">
        <f t="shared" si="54"/>
        <v>1200</v>
      </c>
      <c r="BV68" s="3">
        <f t="shared" si="113"/>
        <v>48.515606913674574</v>
      </c>
      <c r="BW68" s="3">
        <f t="shared" si="114"/>
        <v>986.897508695652</v>
      </c>
      <c r="BX68" s="3">
        <f t="shared" si="115"/>
        <v>35.16295932371396</v>
      </c>
      <c r="BY68" s="3">
        <f t="shared" si="121"/>
        <v>986.897508695652</v>
      </c>
      <c r="BZ68" s="3">
        <f t="shared" si="57"/>
        <v>213.10249130434795</v>
      </c>
      <c r="CA68" s="3">
        <f t="shared" si="116"/>
        <v>76.41131330147199</v>
      </c>
      <c r="CB68" s="3">
        <f t="shared" si="122"/>
        <v>986.897508695652</v>
      </c>
      <c r="CC68" s="3">
        <f t="shared" si="59"/>
        <v>213.10249130434795</v>
      </c>
      <c r="CD68" s="3">
        <f t="shared" si="117"/>
        <v>34.68077233510001</v>
      </c>
      <c r="CE68" s="3">
        <f t="shared" si="70"/>
        <v>197.18978599033846</v>
      </c>
      <c r="CF68" s="3">
        <f t="shared" si="129"/>
        <v>23.553351931905276</v>
      </c>
      <c r="CG68" s="34">
        <f t="shared" si="118"/>
        <v>0</v>
      </c>
      <c r="CH68" s="34">
        <f t="shared" si="119"/>
        <v>0</v>
      </c>
    </row>
    <row r="69" spans="1:86" ht="14.25">
      <c r="A69" s="1">
        <f t="shared" si="73"/>
        <v>2057</v>
      </c>
      <c r="B69" s="47">
        <v>4421.583549</v>
      </c>
      <c r="C69" s="68">
        <f t="shared" si="71"/>
        <v>164.9228338864502</v>
      </c>
      <c r="D69" s="4">
        <f t="shared" si="139"/>
        <v>15.077166113549774</v>
      </c>
      <c r="F69" s="2">
        <f t="shared" si="10"/>
        <v>179.99999999999997</v>
      </c>
      <c r="G69" s="14">
        <f t="shared" si="74"/>
        <v>1026.6837222222223</v>
      </c>
      <c r="H69" s="14">
        <f t="shared" si="75"/>
        <v>1206.6837222222223</v>
      </c>
      <c r="I69" s="2">
        <f t="shared" si="130"/>
        <v>127.99258570081578</v>
      </c>
      <c r="J69" s="2">
        <f t="shared" si="131"/>
        <v>11.782397447300598</v>
      </c>
      <c r="K69" s="2">
        <f t="shared" si="132"/>
        <v>0</v>
      </c>
      <c r="L69" s="2">
        <f t="shared" si="133"/>
        <v>139.77498314811638</v>
      </c>
      <c r="M69" s="3">
        <f t="shared" si="84"/>
        <v>811.9658661272459</v>
      </c>
      <c r="N69" s="3">
        <f t="shared" si="85"/>
        <v>951.7408492753623</v>
      </c>
      <c r="O69" s="2">
        <f t="shared" si="67"/>
        <v>951.7408492753623</v>
      </c>
      <c r="P69" s="14">
        <f t="shared" si="123"/>
        <v>29.01222525810445</v>
      </c>
      <c r="Q69" s="14">
        <f t="shared" si="124"/>
        <v>1.5137934521879028</v>
      </c>
      <c r="R69" s="14">
        <f t="shared" si="125"/>
        <v>0</v>
      </c>
      <c r="S69" s="14">
        <f t="shared" si="126"/>
        <v>171.19129626555332</v>
      </c>
      <c r="T69" s="14">
        <f t="shared" si="68"/>
        <v>201.71731497584568</v>
      </c>
      <c r="U69" s="3">
        <f t="shared" si="134"/>
        <v>72</v>
      </c>
      <c r="V69" s="3">
        <f t="shared" si="135"/>
        <v>0</v>
      </c>
      <c r="W69" s="3">
        <f t="shared" si="136"/>
        <v>0</v>
      </c>
      <c r="X69" s="3">
        <f t="shared" si="137"/>
        <v>170.92581739130435</v>
      </c>
      <c r="Y69" s="3">
        <f t="shared" si="138"/>
        <v>242.92581739130435</v>
      </c>
      <c r="Z69" s="1">
        <f t="shared" si="88"/>
        <v>814.1952686700273</v>
      </c>
      <c r="AA69" s="1">
        <f t="shared" si="89"/>
        <v>170.92581739130435</v>
      </c>
      <c r="AB69" s="15">
        <f t="shared" si="90"/>
        <v>985.1210860613317</v>
      </c>
      <c r="AC69" s="2">
        <f t="shared" si="91"/>
        <v>133.56229944515917</v>
      </c>
      <c r="AD69" s="2">
        <f t="shared" si="92"/>
        <v>72</v>
      </c>
      <c r="AE69" s="2">
        <f t="shared" si="93"/>
        <v>9.316614493509201</v>
      </c>
      <c r="AF69" s="2">
        <f t="shared" si="94"/>
        <v>0</v>
      </c>
      <c r="AG69" s="2">
        <f t="shared" si="95"/>
        <v>0</v>
      </c>
      <c r="AH69" s="2">
        <f t="shared" si="96"/>
        <v>0</v>
      </c>
      <c r="AI69" s="2">
        <f t="shared" si="46"/>
        <v>214.87891393866838</v>
      </c>
      <c r="AJ69" s="2">
        <f t="shared" si="97"/>
        <v>957.0741826086957</v>
      </c>
      <c r="AK69" s="2">
        <f t="shared" si="98"/>
        <v>242.92581739130435</v>
      </c>
      <c r="AL69" s="2">
        <f t="shared" si="47"/>
        <v>1200</v>
      </c>
      <c r="AM69" s="19"/>
      <c r="AN69" s="19"/>
      <c r="AO69" s="19"/>
      <c r="AP69" s="19"/>
      <c r="AQ69" s="19"/>
      <c r="AR69" s="19"/>
      <c r="AS69" s="19"/>
      <c r="AT69" s="19"/>
      <c r="AU69" s="23"/>
      <c r="AV69" s="2">
        <f t="shared" si="76"/>
        <v>0</v>
      </c>
      <c r="AW69" s="2">
        <f t="shared" si="77"/>
        <v>0</v>
      </c>
      <c r="AX69" s="2">
        <f t="shared" si="78"/>
        <v>1026.6837222222223</v>
      </c>
      <c r="AY69" s="2">
        <f t="shared" si="79"/>
        <v>179.99999999999997</v>
      </c>
      <c r="AZ69" s="19"/>
      <c r="BA69" s="2">
        <f t="shared" si="80"/>
        <v>1422.2171384913224</v>
      </c>
      <c r="BB69" s="2">
        <f t="shared" si="81"/>
        <v>754.8260291630309</v>
      </c>
      <c r="BC69" s="4">
        <f t="shared" si="69"/>
        <v>201.71731497584568</v>
      </c>
      <c r="BD69" s="11">
        <f t="shared" si="127"/>
        <v>10.234183488679749</v>
      </c>
      <c r="BE69" s="3">
        <f t="shared" si="86"/>
        <v>951.7408492753623</v>
      </c>
      <c r="BF69" s="34">
        <f t="shared" si="87"/>
        <v>54.32268814956502</v>
      </c>
      <c r="BG69" s="3">
        <f t="shared" si="82"/>
        <v>242.92581739130435</v>
      </c>
      <c r="BH69" s="34">
        <f t="shared" si="128"/>
        <v>12.32490819946626</v>
      </c>
      <c r="BI69" s="3">
        <f t="shared" si="49"/>
        <v>1200</v>
      </c>
      <c r="BJ69" s="3">
        <f t="shared" si="107"/>
        <v>962.7018469929149</v>
      </c>
      <c r="BK69" s="3">
        <f t="shared" si="50"/>
        <v>1200</v>
      </c>
      <c r="BL69" s="3">
        <f t="shared" si="108"/>
        <v>102.73893228778142</v>
      </c>
      <c r="BM69" s="21"/>
      <c r="BN69" s="21"/>
      <c r="BO69" s="3">
        <f t="shared" si="110"/>
        <v>957.0741826086957</v>
      </c>
      <c r="BP69" s="3">
        <f t="shared" si="111"/>
        <v>49.811683152739604</v>
      </c>
      <c r="BQ69" s="3">
        <f t="shared" si="120"/>
        <v>957.0741826086957</v>
      </c>
      <c r="BR69" s="3">
        <f t="shared" si="53"/>
        <v>242.92581739130435</v>
      </c>
      <c r="BS69" s="3">
        <f t="shared" si="112"/>
        <v>6.434268605590634</v>
      </c>
      <c r="BT69" s="3">
        <f t="shared" si="83"/>
        <v>177.44553727912458</v>
      </c>
      <c r="BU69" s="3">
        <f t="shared" si="54"/>
        <v>1200</v>
      </c>
      <c r="BV69" s="3">
        <f t="shared" si="113"/>
        <v>47.56432050360252</v>
      </c>
      <c r="BW69" s="3">
        <f t="shared" si="114"/>
        <v>957.0741826086957</v>
      </c>
      <c r="BX69" s="3">
        <f t="shared" si="115"/>
        <v>33.43172571194615</v>
      </c>
      <c r="BY69" s="3">
        <f t="shared" si="121"/>
        <v>957.0741826086957</v>
      </c>
      <c r="BZ69" s="3">
        <f t="shared" si="57"/>
        <v>242.92581739130435</v>
      </c>
      <c r="CA69" s="3">
        <f t="shared" si="116"/>
        <v>75.98390762177019</v>
      </c>
      <c r="CB69" s="3">
        <f t="shared" si="122"/>
        <v>957.0741826086957</v>
      </c>
      <c r="CC69" s="3">
        <f t="shared" si="59"/>
        <v>242.92581739130435</v>
      </c>
      <c r="CD69" s="3">
        <f t="shared" si="117"/>
        <v>34.12316638007428</v>
      </c>
      <c r="CE69" s="3">
        <f t="shared" si="70"/>
        <v>201.71731497584568</v>
      </c>
      <c r="CF69" s="3">
        <f t="shared" si="129"/>
        <v>23.62170886625956</v>
      </c>
      <c r="CG69" s="34">
        <f t="shared" si="118"/>
        <v>0</v>
      </c>
      <c r="CH69" s="34">
        <f t="shared" si="119"/>
        <v>0</v>
      </c>
    </row>
    <row r="70" spans="1:88" ht="14.25">
      <c r="A70" s="1">
        <f t="shared" si="73"/>
        <v>2058</v>
      </c>
      <c r="B70" s="47">
        <v>4421.583549</v>
      </c>
      <c r="C70" s="68">
        <f t="shared" si="71"/>
        <v>164.76733578613462</v>
      </c>
      <c r="D70" s="4">
        <f t="shared" si="139"/>
        <v>15.23266421386535</v>
      </c>
      <c r="F70" s="2">
        <f t="shared" si="10"/>
        <v>179.99999999999997</v>
      </c>
      <c r="G70" s="14">
        <f t="shared" si="74"/>
        <v>1026.6837222222223</v>
      </c>
      <c r="H70" s="14">
        <f t="shared" si="75"/>
        <v>1206.6837222222223</v>
      </c>
      <c r="I70" s="2">
        <f t="shared" si="130"/>
        <v>126.30689774684387</v>
      </c>
      <c r="J70" s="2">
        <f t="shared" si="131"/>
        <v>11.546915813534108</v>
      </c>
      <c r="K70" s="2">
        <f t="shared" si="132"/>
        <v>0</v>
      </c>
      <c r="L70" s="2">
        <f t="shared" si="133"/>
        <v>137.85381356037797</v>
      </c>
      <c r="M70" s="3">
        <f t="shared" si="84"/>
        <v>786.2903690483174</v>
      </c>
      <c r="N70" s="3">
        <f t="shared" si="85"/>
        <v>924.1441826086954</v>
      </c>
      <c r="O70" s="2">
        <f t="shared" si="67"/>
        <v>924.1441826086954</v>
      </c>
      <c r="P70" s="14">
        <f t="shared" si="123"/>
        <v>30.885541575153297</v>
      </c>
      <c r="Q70" s="14">
        <f t="shared" si="124"/>
        <v>1.767491044949768</v>
      </c>
      <c r="R70" s="14">
        <f t="shared" si="125"/>
        <v>0</v>
      </c>
      <c r="S70" s="14">
        <f t="shared" si="126"/>
        <v>186.04978235574265</v>
      </c>
      <c r="T70" s="14">
        <f t="shared" si="68"/>
        <v>218.7028149758457</v>
      </c>
      <c r="U70" s="3">
        <f t="shared" si="134"/>
        <v>96</v>
      </c>
      <c r="V70" s="3">
        <f t="shared" si="135"/>
        <v>0</v>
      </c>
      <c r="W70" s="3">
        <f t="shared" si="136"/>
        <v>0</v>
      </c>
      <c r="X70" s="3">
        <f t="shared" si="137"/>
        <v>149.59248405797098</v>
      </c>
      <c r="Y70" s="3">
        <f t="shared" si="138"/>
        <v>245.59248405797098</v>
      </c>
      <c r="Z70" s="1">
        <f t="shared" si="88"/>
        <v>813.7077644574678</v>
      </c>
      <c r="AA70" s="1">
        <f t="shared" si="89"/>
        <v>149.59248405797098</v>
      </c>
      <c r="AB70" s="15">
        <f t="shared" si="90"/>
        <v>963.3002485154387</v>
      </c>
      <c r="AC70" s="2">
        <f t="shared" si="91"/>
        <v>130.40165815981413</v>
      </c>
      <c r="AD70" s="2">
        <f t="shared" si="92"/>
        <v>96</v>
      </c>
      <c r="AE70" s="2">
        <f t="shared" si="93"/>
        <v>10.298093324747164</v>
      </c>
      <c r="AF70" s="2">
        <f t="shared" si="94"/>
        <v>0</v>
      </c>
      <c r="AG70" s="2">
        <f t="shared" si="95"/>
        <v>0</v>
      </c>
      <c r="AH70" s="2">
        <f t="shared" si="96"/>
        <v>0</v>
      </c>
      <c r="AI70" s="2">
        <f t="shared" si="46"/>
        <v>236.6997514845613</v>
      </c>
      <c r="AJ70" s="2">
        <f t="shared" si="97"/>
        <v>954.407515942029</v>
      </c>
      <c r="AK70" s="2">
        <f t="shared" si="98"/>
        <v>245.59248405797098</v>
      </c>
      <c r="AL70" s="2">
        <f t="shared" si="47"/>
        <v>1200</v>
      </c>
      <c r="AM70" s="19"/>
      <c r="AN70" s="19"/>
      <c r="AO70" s="19"/>
      <c r="AP70" s="19"/>
      <c r="AQ70" s="19"/>
      <c r="AR70" s="19"/>
      <c r="AS70" s="19"/>
      <c r="AT70" s="19"/>
      <c r="AU70" s="23"/>
      <c r="AV70" s="2">
        <f t="shared" si="76"/>
        <v>0</v>
      </c>
      <c r="AW70" s="2">
        <f t="shared" si="77"/>
        <v>0</v>
      </c>
      <c r="AX70" s="2">
        <f t="shared" si="78"/>
        <v>1026.6837222222223</v>
      </c>
      <c r="AY70" s="2">
        <f t="shared" si="79"/>
        <v>179.99999999999997</v>
      </c>
      <c r="AZ70" s="19"/>
      <c r="BA70" s="2">
        <f t="shared" si="80"/>
        <v>1394.3305279326687</v>
      </c>
      <c r="BB70" s="2">
        <f t="shared" si="81"/>
        <v>740.025518787285</v>
      </c>
      <c r="BC70" s="4">
        <f t="shared" si="69"/>
        <v>218.7028149758457</v>
      </c>
      <c r="BD70" s="11">
        <f t="shared" si="127"/>
        <v>10.878379907504533</v>
      </c>
      <c r="BE70" s="3">
        <f t="shared" si="86"/>
        <v>924.1441826086954</v>
      </c>
      <c r="BF70" s="34">
        <f t="shared" si="87"/>
        <v>51.71328246251737</v>
      </c>
      <c r="BG70" s="3">
        <f t="shared" si="82"/>
        <v>245.59248405797098</v>
      </c>
      <c r="BH70" s="34">
        <f t="shared" si="128"/>
        <v>12.215884575173046</v>
      </c>
      <c r="BI70" s="3">
        <f t="shared" si="49"/>
        <v>1200</v>
      </c>
      <c r="BJ70" s="3">
        <f t="shared" si="107"/>
        <v>943.8253401891324</v>
      </c>
      <c r="BK70" s="3">
        <f t="shared" si="50"/>
        <v>1200</v>
      </c>
      <c r="BL70" s="3">
        <f t="shared" si="108"/>
        <v>100.72444341939358</v>
      </c>
      <c r="BM70" s="21"/>
      <c r="BN70" s="21"/>
      <c r="BO70" s="3">
        <f t="shared" si="110"/>
        <v>954.407515942029</v>
      </c>
      <c r="BP70" s="3">
        <f t="shared" si="111"/>
        <v>48.6989160548808</v>
      </c>
      <c r="BQ70" s="3">
        <f t="shared" si="120"/>
        <v>954.407515942029</v>
      </c>
      <c r="BR70" s="3">
        <f t="shared" si="53"/>
        <v>245.59248405797098</v>
      </c>
      <c r="BS70" s="3">
        <f t="shared" si="112"/>
        <v>6.3217132188889735</v>
      </c>
      <c r="BT70" s="3">
        <f t="shared" si="83"/>
        <v>173.96621301874956</v>
      </c>
      <c r="BU70" s="3">
        <f t="shared" si="54"/>
        <v>1200</v>
      </c>
      <c r="BV70" s="3">
        <f t="shared" si="113"/>
        <v>46.63168676823777</v>
      </c>
      <c r="BW70" s="3">
        <f t="shared" si="114"/>
        <v>954.407515942029</v>
      </c>
      <c r="BX70" s="3">
        <f t="shared" si="115"/>
        <v>32.6848783451784</v>
      </c>
      <c r="BY70" s="3">
        <f t="shared" si="121"/>
        <v>954.407515942029</v>
      </c>
      <c r="BZ70" s="3">
        <f t="shared" si="57"/>
        <v>245.59248405797098</v>
      </c>
      <c r="CA70" s="3">
        <f t="shared" si="116"/>
        <v>74.58790064283488</v>
      </c>
      <c r="CB70" s="3">
        <f t="shared" si="122"/>
        <v>954.407515942029</v>
      </c>
      <c r="CC70" s="3">
        <f t="shared" si="59"/>
        <v>245.59248405797098</v>
      </c>
      <c r="CD70" s="3">
        <f t="shared" si="117"/>
        <v>33.46481534804728</v>
      </c>
      <c r="CE70" s="3">
        <f t="shared" si="70"/>
        <v>218.7028149758457</v>
      </c>
      <c r="CF70" s="3">
        <f t="shared" si="129"/>
        <v>25.10859057743837</v>
      </c>
      <c r="CG70" s="34">
        <f t="shared" si="118"/>
        <v>0</v>
      </c>
      <c r="CH70" s="34">
        <f t="shared" si="119"/>
        <v>0</v>
      </c>
      <c r="CJ70" s="6"/>
    </row>
    <row r="71" spans="1:89" ht="14.25">
      <c r="A71" s="1">
        <f t="shared" si="73"/>
        <v>2059</v>
      </c>
      <c r="B71" s="47">
        <v>4421.583549</v>
      </c>
      <c r="C71" s="68">
        <f t="shared" si="71"/>
        <v>165.0009060649159</v>
      </c>
      <c r="D71" s="4">
        <f t="shared" si="139"/>
        <v>14.999093935084076</v>
      </c>
      <c r="F71" s="2">
        <f t="shared" si="10"/>
        <v>180</v>
      </c>
      <c r="G71" s="14">
        <f t="shared" si="74"/>
        <v>1026.6837222222223</v>
      </c>
      <c r="H71" s="14">
        <f t="shared" si="75"/>
        <v>1206.6837222222223</v>
      </c>
      <c r="I71" s="2">
        <f t="shared" si="130"/>
        <v>126.1878088239</v>
      </c>
      <c r="J71" s="2">
        <f t="shared" si="131"/>
        <v>11.666004736477975</v>
      </c>
      <c r="K71" s="2">
        <f t="shared" si="132"/>
        <v>0</v>
      </c>
      <c r="L71" s="2">
        <f t="shared" si="133"/>
        <v>137.85381356037797</v>
      </c>
      <c r="M71" s="3">
        <f t="shared" si="84"/>
        <v>786.2903690483174</v>
      </c>
      <c r="N71" s="3">
        <f t="shared" si="85"/>
        <v>924.1441826086954</v>
      </c>
      <c r="O71" s="2">
        <f t="shared" si="67"/>
        <v>924.1441826086954</v>
      </c>
      <c r="P71" s="14">
        <f t="shared" si="123"/>
        <v>34.70055500548767</v>
      </c>
      <c r="Q71" s="14">
        <f t="shared" si="124"/>
        <v>2.42053105584397</v>
      </c>
      <c r="R71" s="14">
        <f t="shared" si="125"/>
        <v>0</v>
      </c>
      <c r="S71" s="14">
        <f t="shared" si="126"/>
        <v>211.5344511367358</v>
      </c>
      <c r="T71" s="14">
        <f t="shared" si="68"/>
        <v>248.65553719806746</v>
      </c>
      <c r="U71" s="3">
        <f t="shared" si="134"/>
        <v>120</v>
      </c>
      <c r="V71" s="3">
        <f t="shared" si="135"/>
        <v>0</v>
      </c>
      <c r="W71" s="3">
        <f t="shared" si="136"/>
        <v>0</v>
      </c>
      <c r="X71" s="3">
        <f t="shared" si="137"/>
        <v>128.25915072463772</v>
      </c>
      <c r="Y71" s="3">
        <f t="shared" si="138"/>
        <v>248.25915072463772</v>
      </c>
      <c r="Z71" s="1">
        <f t="shared" si="88"/>
        <v>811.9658661272459</v>
      </c>
      <c r="AA71" s="1">
        <f t="shared" si="89"/>
        <v>128.25915072463772</v>
      </c>
      <c r="AB71" s="15">
        <f t="shared" si="90"/>
        <v>940.2250168518837</v>
      </c>
      <c r="AC71" s="2">
        <f t="shared" si="91"/>
        <v>127.99258570081578</v>
      </c>
      <c r="AD71" s="2">
        <f t="shared" si="92"/>
        <v>120</v>
      </c>
      <c r="AE71" s="2">
        <f t="shared" si="93"/>
        <v>11.782397447300598</v>
      </c>
      <c r="AF71" s="2">
        <f t="shared" si="94"/>
        <v>0</v>
      </c>
      <c r="AG71" s="2">
        <f t="shared" si="95"/>
        <v>0</v>
      </c>
      <c r="AH71" s="2">
        <f t="shared" si="96"/>
        <v>0</v>
      </c>
      <c r="AI71" s="2">
        <f t="shared" si="46"/>
        <v>259.77498314811635</v>
      </c>
      <c r="AJ71" s="2">
        <f t="shared" si="97"/>
        <v>951.7408492753623</v>
      </c>
      <c r="AK71" s="2">
        <f t="shared" si="98"/>
        <v>248.25915072463772</v>
      </c>
      <c r="AL71" s="2">
        <f t="shared" si="47"/>
        <v>1200</v>
      </c>
      <c r="AM71" s="19"/>
      <c r="AN71" s="19"/>
      <c r="AO71" s="19"/>
      <c r="AP71" s="19"/>
      <c r="AQ71" s="19"/>
      <c r="AR71" s="19"/>
      <c r="AS71" s="19"/>
      <c r="AT71" s="19"/>
      <c r="AU71" s="23"/>
      <c r="AV71" s="2">
        <f t="shared" si="76"/>
        <v>0</v>
      </c>
      <c r="AW71" s="2">
        <f t="shared" si="77"/>
        <v>0</v>
      </c>
      <c r="AX71" s="2">
        <f t="shared" si="78"/>
        <v>1026.6837222222223</v>
      </c>
      <c r="AY71" s="2">
        <f t="shared" si="79"/>
        <v>180</v>
      </c>
      <c r="AZ71" s="19"/>
      <c r="BA71" s="2">
        <f t="shared" si="80"/>
        <v>1366.9907136594795</v>
      </c>
      <c r="BB71" s="2">
        <f t="shared" si="81"/>
        <v>725.5152144973384</v>
      </c>
      <c r="BC71" s="4">
        <f t="shared" si="69"/>
        <v>248.65553719806746</v>
      </c>
      <c r="BD71" s="11">
        <f t="shared" si="127"/>
        <v>12.125727711171947</v>
      </c>
      <c r="BE71" s="3">
        <f t="shared" si="86"/>
        <v>924.1441826086954</v>
      </c>
      <c r="BF71" s="34">
        <f t="shared" si="87"/>
        <v>50.69929653187976</v>
      </c>
      <c r="BG71" s="3">
        <f t="shared" si="82"/>
        <v>248.25915072463772</v>
      </c>
      <c r="BH71" s="34">
        <f t="shared" si="128"/>
        <v>12.106397860329444</v>
      </c>
      <c r="BI71" s="3">
        <f t="shared" si="49"/>
        <v>1200</v>
      </c>
      <c r="BJ71" s="3">
        <f t="shared" si="107"/>
        <v>925.3189609697375</v>
      </c>
      <c r="BK71" s="3">
        <f t="shared" si="50"/>
        <v>1200</v>
      </c>
      <c r="BL71" s="3">
        <f t="shared" si="108"/>
        <v>98.74945433273878</v>
      </c>
      <c r="BM71" s="21"/>
      <c r="BN71" s="21"/>
      <c r="BO71" s="3">
        <f t="shared" si="110"/>
        <v>951.7408492753623</v>
      </c>
      <c r="BP71" s="3">
        <f t="shared" si="111"/>
        <v>47.61063590851329</v>
      </c>
      <c r="BQ71" s="3">
        <f t="shared" si="120"/>
        <v>951.7408492753623</v>
      </c>
      <c r="BR71" s="3">
        <f t="shared" si="53"/>
        <v>248.25915072463772</v>
      </c>
      <c r="BS71" s="3">
        <f t="shared" si="112"/>
        <v>6.211098001675193</v>
      </c>
      <c r="BT71" s="3">
        <f t="shared" si="83"/>
        <v>170.5551108026957</v>
      </c>
      <c r="BU71" s="3">
        <f t="shared" si="54"/>
        <v>1200</v>
      </c>
      <c r="BV71" s="3">
        <f t="shared" si="113"/>
        <v>45.71733996886055</v>
      </c>
      <c r="BW71" s="3">
        <f t="shared" si="114"/>
        <v>951.7408492753623</v>
      </c>
      <c r="BX71" s="3">
        <f t="shared" si="115"/>
        <v>31.95446569801783</v>
      </c>
      <c r="BY71" s="3">
        <f t="shared" si="121"/>
        <v>951.7408492753623</v>
      </c>
      <c r="BZ71" s="3">
        <f t="shared" si="57"/>
        <v>248.25915072463772</v>
      </c>
      <c r="CA71" s="3">
        <f t="shared" si="116"/>
        <v>73.21742569166949</v>
      </c>
      <c r="CB71" s="3">
        <f t="shared" si="122"/>
        <v>951.7408492753623</v>
      </c>
      <c r="CC71" s="3">
        <f t="shared" si="59"/>
        <v>248.25915072463772</v>
      </c>
      <c r="CD71" s="3">
        <f t="shared" si="117"/>
        <v>32.81916275465412</v>
      </c>
      <c r="CE71" s="3">
        <f t="shared" si="70"/>
        <v>248.65553719806746</v>
      </c>
      <c r="CF71" s="3">
        <f t="shared" si="129"/>
        <v>27.987617195027486</v>
      </c>
      <c r="CG71" s="34">
        <f t="shared" si="118"/>
        <v>0</v>
      </c>
      <c r="CH71" s="34">
        <f t="shared" si="119"/>
        <v>0</v>
      </c>
      <c r="CJ71" s="1"/>
      <c r="CK71" s="30"/>
    </row>
    <row r="72" spans="1:89" ht="14.25">
      <c r="A72" s="26">
        <f t="shared" si="73"/>
        <v>2060</v>
      </c>
      <c r="B72" s="51">
        <v>4421.583549</v>
      </c>
      <c r="C72" s="87">
        <f t="shared" si="71"/>
        <v>150.82890280654382</v>
      </c>
      <c r="D72" s="28">
        <f t="shared" si="139"/>
        <v>28.059228972302275</v>
      </c>
      <c r="E72" s="28">
        <f>(AQ67+AR67)</f>
        <v>1.1118682211538695</v>
      </c>
      <c r="F72" s="28">
        <f t="shared" si="10"/>
        <v>179.99999999999994</v>
      </c>
      <c r="G72" s="29">
        <f t="shared" si="74"/>
        <v>1026.6837222222223</v>
      </c>
      <c r="H72" s="29">
        <f t="shared" si="75"/>
        <v>1206.6837222222223</v>
      </c>
      <c r="I72" s="28">
        <f t="shared" si="130"/>
        <v>126.36668967759088</v>
      </c>
      <c r="J72" s="28">
        <f t="shared" si="131"/>
        <v>11.487123882787092</v>
      </c>
      <c r="K72" s="28">
        <f t="shared" si="132"/>
        <v>0</v>
      </c>
      <c r="L72" s="28">
        <f t="shared" si="133"/>
        <v>137.85381356037797</v>
      </c>
      <c r="M72" s="26">
        <f t="shared" si="84"/>
        <v>786.2903690483174</v>
      </c>
      <c r="N72" s="26">
        <f t="shared" si="85"/>
        <v>924.1441826086954</v>
      </c>
      <c r="O72" s="28">
        <f t="shared" si="67"/>
        <v>924.1441826086954</v>
      </c>
      <c r="P72" s="29">
        <f t="shared" si="123"/>
        <v>36.423785532189186</v>
      </c>
      <c r="Q72" s="29">
        <f t="shared" si="124"/>
        <v>2.876462983249498</v>
      </c>
      <c r="R72" s="29">
        <f t="shared" si="125"/>
        <v>0</v>
      </c>
      <c r="S72" s="29">
        <f t="shared" si="126"/>
        <v>227.28481766813582</v>
      </c>
      <c r="T72" s="29">
        <f t="shared" si="68"/>
        <v>266.5850661835745</v>
      </c>
      <c r="U72" s="26">
        <f t="shared" si="134"/>
        <v>120</v>
      </c>
      <c r="V72" s="26">
        <f t="shared" si="135"/>
        <v>0</v>
      </c>
      <c r="W72" s="26">
        <f t="shared" si="136"/>
        <v>0</v>
      </c>
      <c r="X72" s="26">
        <f t="shared" si="137"/>
        <v>155.85581739130464</v>
      </c>
      <c r="Y72" s="26">
        <f t="shared" si="138"/>
        <v>275.85581739130464</v>
      </c>
      <c r="Z72" s="26">
        <f t="shared" si="88"/>
        <v>786.2903690483174</v>
      </c>
      <c r="AA72" s="26">
        <f t="shared" si="89"/>
        <v>155.85581739130464</v>
      </c>
      <c r="AB72" s="32">
        <f t="shared" si="90"/>
        <v>942.146186439622</v>
      </c>
      <c r="AC72" s="28">
        <f t="shared" si="91"/>
        <v>126.30689774684387</v>
      </c>
      <c r="AD72" s="28">
        <f t="shared" si="92"/>
        <v>120</v>
      </c>
      <c r="AE72" s="28">
        <f t="shared" si="93"/>
        <v>11.546915813534108</v>
      </c>
      <c r="AF72" s="28">
        <f t="shared" si="94"/>
        <v>0</v>
      </c>
      <c r="AG72" s="28">
        <f t="shared" si="95"/>
        <v>0</v>
      </c>
      <c r="AH72" s="28">
        <f t="shared" si="96"/>
        <v>0</v>
      </c>
      <c r="AI72" s="28">
        <f t="shared" si="46"/>
        <v>257.853813560378</v>
      </c>
      <c r="AJ72" s="28">
        <f t="shared" si="97"/>
        <v>924.1441826086955</v>
      </c>
      <c r="AK72" s="28">
        <f t="shared" si="98"/>
        <v>275.85581739130464</v>
      </c>
      <c r="AL72" s="28">
        <f t="shared" si="47"/>
        <v>1200</v>
      </c>
      <c r="AM72" s="45"/>
      <c r="AN72" s="45"/>
      <c r="AO72" s="45"/>
      <c r="AP72" s="45"/>
      <c r="AQ72" s="45"/>
      <c r="AR72" s="45"/>
      <c r="AS72" s="45"/>
      <c r="AT72" s="45"/>
      <c r="AU72" s="45"/>
      <c r="AV72" s="28">
        <f t="shared" si="76"/>
        <v>0</v>
      </c>
      <c r="AW72" s="28">
        <f t="shared" si="77"/>
        <v>0</v>
      </c>
      <c r="AX72" s="28">
        <f t="shared" si="78"/>
        <v>1026.6837222222223</v>
      </c>
      <c r="AY72" s="28">
        <f t="shared" si="79"/>
        <v>179.99999999999997</v>
      </c>
      <c r="AZ72" s="45"/>
      <c r="BA72" s="28">
        <f t="shared" si="80"/>
        <v>1340.1869741759604</v>
      </c>
      <c r="BB72" s="28">
        <f t="shared" si="81"/>
        <v>711.2894259777828</v>
      </c>
      <c r="BC72" s="28">
        <f t="shared" si="69"/>
        <v>266.5850661835745</v>
      </c>
      <c r="BD72" s="29">
        <f t="shared" si="127"/>
        <v>12.745160890285664</v>
      </c>
      <c r="BE72" s="26">
        <f t="shared" si="86"/>
        <v>924.1441826086954</v>
      </c>
      <c r="BF72" s="32">
        <f t="shared" si="87"/>
        <v>49.7051926783135</v>
      </c>
      <c r="BG72" s="26">
        <f t="shared" si="82"/>
        <v>275.85581739130464</v>
      </c>
      <c r="BH72" s="32">
        <f t="shared" si="128"/>
        <v>13.18838607693196</v>
      </c>
      <c r="BI72" s="26">
        <f t="shared" si="49"/>
        <v>1200</v>
      </c>
      <c r="BJ72" s="26">
        <f t="shared" si="107"/>
        <v>907.1754519311153</v>
      </c>
      <c r="BK72" s="26">
        <f t="shared" si="50"/>
        <v>1200</v>
      </c>
      <c r="BL72" s="26">
        <f t="shared" si="108"/>
        <v>96.81319052229294</v>
      </c>
      <c r="BM72" s="52"/>
      <c r="BN72" s="52"/>
      <c r="BO72" s="26">
        <f t="shared" si="110"/>
        <v>924.1441826086955</v>
      </c>
      <c r="BP72" s="26">
        <f t="shared" si="111"/>
        <v>45.323645548949784</v>
      </c>
      <c r="BQ72" s="26">
        <f t="shared" si="120"/>
        <v>924.1441826086955</v>
      </c>
      <c r="BR72" s="26">
        <f t="shared" si="53"/>
        <v>275.85581739130464</v>
      </c>
      <c r="BS72" s="26">
        <f t="shared" si="112"/>
        <v>6.224656614248673</v>
      </c>
      <c r="BT72" s="26">
        <f t="shared" si="83"/>
        <v>167.21089294381932</v>
      </c>
      <c r="BU72" s="26">
        <f t="shared" si="54"/>
        <v>1200</v>
      </c>
      <c r="BV72" s="26">
        <f t="shared" si="113"/>
        <v>44.82092153809858</v>
      </c>
      <c r="BW72" s="26">
        <f t="shared" si="114"/>
        <v>924.1441826086955</v>
      </c>
      <c r="BX72" s="26">
        <f t="shared" si="115"/>
        <v>30.419523901886482</v>
      </c>
      <c r="BY72" s="26">
        <f t="shared" si="121"/>
        <v>924.1441826086955</v>
      </c>
      <c r="BZ72" s="26">
        <f t="shared" si="57"/>
        <v>275.85581739130464</v>
      </c>
      <c r="CA72" s="26">
        <f t="shared" si="116"/>
        <v>72.71554040480919</v>
      </c>
      <c r="CB72" s="26">
        <f t="shared" si="122"/>
        <v>924.1441826086955</v>
      </c>
      <c r="CC72" s="26">
        <f t="shared" si="59"/>
        <v>275.85581739130464</v>
      </c>
      <c r="CD72" s="26">
        <f t="shared" si="117"/>
        <v>32.28238652923337</v>
      </c>
      <c r="CE72" s="26">
        <f t="shared" si="70"/>
        <v>266.5850661835745</v>
      </c>
      <c r="CF72" s="26">
        <f t="shared" si="129"/>
        <v>29.417342413000235</v>
      </c>
      <c r="CG72" s="32">
        <f t="shared" si="118"/>
        <v>0</v>
      </c>
      <c r="CH72" s="32">
        <f t="shared" si="119"/>
        <v>0</v>
      </c>
      <c r="CJ72" s="1"/>
      <c r="CK72" s="30"/>
    </row>
    <row r="73" spans="1:174" s="15" customFormat="1" ht="14.25">
      <c r="A73" s="20">
        <f t="shared" si="73"/>
        <v>2061</v>
      </c>
      <c r="B73" s="46">
        <v>4421.583549</v>
      </c>
      <c r="C73" s="19"/>
      <c r="D73" s="19"/>
      <c r="E73" s="19"/>
      <c r="F73" s="19"/>
      <c r="G73" s="19"/>
      <c r="H73" s="19"/>
      <c r="I73" s="2">
        <f t="shared" si="130"/>
        <v>112.08106080236611</v>
      </c>
      <c r="J73" s="2">
        <f t="shared" si="131"/>
        <v>20.850832234361917</v>
      </c>
      <c r="K73" s="2">
        <f t="shared" si="132"/>
        <v>0.8262300353613579</v>
      </c>
      <c r="L73" s="2">
        <f t="shared" si="133"/>
        <v>133.75812307208938</v>
      </c>
      <c r="M73" s="24">
        <f t="shared" si="84"/>
        <v>762.9293759617271</v>
      </c>
      <c r="N73" s="3">
        <f t="shared" si="85"/>
        <v>896.6874990338165</v>
      </c>
      <c r="O73" s="2">
        <f t="shared" si="67"/>
        <v>896.6874990338165</v>
      </c>
      <c r="P73" s="14">
        <f t="shared" si="123"/>
        <v>36.83423028050534</v>
      </c>
      <c r="Q73" s="14">
        <f t="shared" si="124"/>
        <v>3.3907865713782694</v>
      </c>
      <c r="R73" s="14">
        <f t="shared" si="125"/>
        <v>0</v>
      </c>
      <c r="S73" s="14">
        <f t="shared" si="126"/>
        <v>233.67086092589432</v>
      </c>
      <c r="T73" s="14">
        <f t="shared" si="68"/>
        <v>273.8958777777779</v>
      </c>
      <c r="U73" s="1">
        <f t="shared" si="134"/>
        <v>120</v>
      </c>
      <c r="V73" s="1">
        <f t="shared" si="135"/>
        <v>0</v>
      </c>
      <c r="W73" s="1">
        <f t="shared" si="136"/>
        <v>0</v>
      </c>
      <c r="X73" s="1">
        <f t="shared" si="137"/>
        <v>155.85581739130464</v>
      </c>
      <c r="Y73" s="1">
        <f t="shared" si="138"/>
        <v>275.85581739130464</v>
      </c>
      <c r="Z73" s="1">
        <f t="shared" si="88"/>
        <v>786.2903690483174</v>
      </c>
      <c r="AA73" s="1">
        <f t="shared" si="89"/>
        <v>155.85581739130464</v>
      </c>
      <c r="AB73" s="15">
        <f t="shared" si="90"/>
        <v>942.146186439622</v>
      </c>
      <c r="AC73" s="2">
        <f t="shared" si="91"/>
        <v>126.1878088239</v>
      </c>
      <c r="AD73" s="2">
        <f t="shared" si="92"/>
        <v>120</v>
      </c>
      <c r="AE73" s="2">
        <f t="shared" si="93"/>
        <v>11.666004736477975</v>
      </c>
      <c r="AF73" s="2">
        <f t="shared" si="94"/>
        <v>0</v>
      </c>
      <c r="AG73" s="2">
        <f t="shared" si="95"/>
        <v>0</v>
      </c>
      <c r="AH73" s="2">
        <f t="shared" si="96"/>
        <v>0</v>
      </c>
      <c r="AI73" s="2">
        <f t="shared" si="46"/>
        <v>257.853813560378</v>
      </c>
      <c r="AJ73" s="2">
        <f t="shared" si="97"/>
        <v>924.1441826086954</v>
      </c>
      <c r="AK73" s="2">
        <f t="shared" si="98"/>
        <v>275.85581739130464</v>
      </c>
      <c r="AL73" s="2">
        <f t="shared" si="47"/>
        <v>1200</v>
      </c>
      <c r="AM73" s="19"/>
      <c r="AN73" s="19"/>
      <c r="AO73" s="19"/>
      <c r="AP73" s="19"/>
      <c r="AQ73" s="19"/>
      <c r="AR73" s="19"/>
      <c r="AS73" s="19"/>
      <c r="AT73" s="19"/>
      <c r="AU73" s="23"/>
      <c r="AV73" s="19"/>
      <c r="AW73" s="19"/>
      <c r="AX73" s="19"/>
      <c r="AY73" s="19"/>
      <c r="AZ73" s="19"/>
      <c r="BA73" s="19"/>
      <c r="BB73" s="19"/>
      <c r="BC73" s="4">
        <f t="shared" si="69"/>
        <v>273.8958777777779</v>
      </c>
      <c r="BD73" s="11">
        <f t="shared" si="127"/>
        <v>12.837924860116521</v>
      </c>
      <c r="BE73" s="3">
        <f t="shared" si="86"/>
        <v>896.6874990338165</v>
      </c>
      <c r="BF73" s="34">
        <f t="shared" si="87"/>
        <v>47.282776515751216</v>
      </c>
      <c r="BG73" s="3">
        <f t="shared" si="82"/>
        <v>275.85581739130464</v>
      </c>
      <c r="BH73" s="34">
        <f t="shared" si="128"/>
        <v>12.929790271501922</v>
      </c>
      <c r="BI73" s="3">
        <f t="shared" si="49"/>
        <v>1200</v>
      </c>
      <c r="BJ73" s="3">
        <f t="shared" si="107"/>
        <v>889.3876979716816</v>
      </c>
      <c r="BK73" s="3">
        <f t="shared" si="50"/>
        <v>1200</v>
      </c>
      <c r="BL73" s="3">
        <f t="shared" si="108"/>
        <v>94.91489266891465</v>
      </c>
      <c r="BM73" s="21"/>
      <c r="BN73" s="21"/>
      <c r="BO73" s="3">
        <f t="shared" si="110"/>
        <v>924.1441826086954</v>
      </c>
      <c r="BP73" s="3">
        <f t="shared" si="111"/>
        <v>44.434946616617424</v>
      </c>
      <c r="BQ73" s="3">
        <f t="shared" si="120"/>
        <v>924.1441826086954</v>
      </c>
      <c r="BR73" s="3">
        <f t="shared" si="53"/>
        <v>275.85581739130464</v>
      </c>
      <c r="BS73" s="3">
        <f t="shared" si="112"/>
        <v>6.102604523773207</v>
      </c>
      <c r="BT73" s="21"/>
      <c r="BU73" s="3">
        <f t="shared" si="54"/>
        <v>1200</v>
      </c>
      <c r="BV73" s="3">
        <f t="shared" si="113"/>
        <v>43.942079939312336</v>
      </c>
      <c r="BW73" s="3">
        <f t="shared" si="114"/>
        <v>924.1441826086954</v>
      </c>
      <c r="BX73" s="3">
        <f t="shared" si="115"/>
        <v>29.823062648908305</v>
      </c>
      <c r="BY73" s="3">
        <f t="shared" si="121"/>
        <v>924.1441826086954</v>
      </c>
      <c r="BZ73" s="3">
        <f t="shared" si="57"/>
        <v>275.85581739130464</v>
      </c>
      <c r="CA73" s="3">
        <f t="shared" si="116"/>
        <v>71.28974549491096</v>
      </c>
      <c r="CB73" s="3">
        <f t="shared" si="122"/>
        <v>924.1441826086954</v>
      </c>
      <c r="CC73" s="3">
        <f t="shared" si="59"/>
        <v>275.85581739130464</v>
      </c>
      <c r="CD73" s="3">
        <f t="shared" si="117"/>
        <v>31.64939855807193</v>
      </c>
      <c r="CE73" s="3">
        <f t="shared" si="70"/>
        <v>273.8958777777779</v>
      </c>
      <c r="CF73" s="3">
        <f t="shared" si="129"/>
        <v>29.63145265355306</v>
      </c>
      <c r="CG73" s="34">
        <f t="shared" si="118"/>
        <v>0</v>
      </c>
      <c r="CH73" s="34">
        <f t="shared" si="119"/>
        <v>0</v>
      </c>
      <c r="CJ73"/>
      <c r="CK73" s="3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</row>
    <row r="74" spans="1:174" s="15" customFormat="1" ht="14.25">
      <c r="A74" s="20">
        <f t="shared" si="73"/>
        <v>2062</v>
      </c>
      <c r="B74" s="46">
        <v>4478.452974000001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1"/>
      <c r="N74" s="21"/>
      <c r="O74" s="19"/>
      <c r="P74" s="14">
        <f t="shared" si="123"/>
        <v>38.61593613960633</v>
      </c>
      <c r="Q74" s="14">
        <f t="shared" si="124"/>
        <v>3.530250300015666</v>
      </c>
      <c r="R74" s="14">
        <f t="shared" si="125"/>
        <v>0</v>
      </c>
      <c r="S74" s="14">
        <f t="shared" si="126"/>
        <v>240.39335317390487</v>
      </c>
      <c r="T74" s="14">
        <f t="shared" si="68"/>
        <v>282.53953961352687</v>
      </c>
      <c r="U74" s="1">
        <f t="shared" si="134"/>
        <v>120</v>
      </c>
      <c r="V74" s="1">
        <f t="shared" si="135"/>
        <v>0</v>
      </c>
      <c r="W74" s="1">
        <f t="shared" si="136"/>
        <v>0</v>
      </c>
      <c r="X74" s="1">
        <f t="shared" si="137"/>
        <v>155.85581739130464</v>
      </c>
      <c r="Y74" s="1">
        <f t="shared" si="138"/>
        <v>275.85581739130464</v>
      </c>
      <c r="Z74" s="1">
        <f t="shared" si="88"/>
        <v>786.2903690483174</v>
      </c>
      <c r="AA74" s="1">
        <f t="shared" si="89"/>
        <v>155.85581739130464</v>
      </c>
      <c r="AB74" s="15">
        <f t="shared" si="90"/>
        <v>942.146186439622</v>
      </c>
      <c r="AC74" s="2">
        <f t="shared" si="91"/>
        <v>126.36668967759088</v>
      </c>
      <c r="AD74" s="2">
        <f t="shared" si="92"/>
        <v>120</v>
      </c>
      <c r="AE74" s="2">
        <f t="shared" si="93"/>
        <v>11.487123882787092</v>
      </c>
      <c r="AF74" s="2">
        <f t="shared" si="94"/>
        <v>0</v>
      </c>
      <c r="AG74" s="2">
        <f t="shared" si="95"/>
        <v>0</v>
      </c>
      <c r="AH74" s="2">
        <f t="shared" si="96"/>
        <v>0</v>
      </c>
      <c r="AI74" s="2">
        <f t="shared" si="46"/>
        <v>257.853813560378</v>
      </c>
      <c r="AJ74" s="2">
        <f t="shared" si="97"/>
        <v>924.1441826086954</v>
      </c>
      <c r="AK74" s="2">
        <f t="shared" si="98"/>
        <v>275.85581739130464</v>
      </c>
      <c r="AL74" s="2">
        <f t="shared" si="47"/>
        <v>1200</v>
      </c>
      <c r="AM74" s="19"/>
      <c r="AN74" s="19"/>
      <c r="AO74" s="19"/>
      <c r="AP74" s="19"/>
      <c r="AQ74" s="19"/>
      <c r="AR74" s="19"/>
      <c r="AS74" s="19"/>
      <c r="AT74" s="19"/>
      <c r="AU74" s="23"/>
      <c r="AV74" s="19"/>
      <c r="AW74" s="19"/>
      <c r="AX74" s="19"/>
      <c r="AY74" s="19"/>
      <c r="AZ74" s="19"/>
      <c r="BA74" s="19"/>
      <c r="BB74" s="19"/>
      <c r="BC74" s="4">
        <f t="shared" si="69"/>
        <v>282.53953961352687</v>
      </c>
      <c r="BD74" s="11">
        <f t="shared" si="127"/>
        <v>12.983398730158541</v>
      </c>
      <c r="BE74" s="21"/>
      <c r="BF74" s="21"/>
      <c r="BG74" s="3">
        <f t="shared" si="82"/>
        <v>275.85581739130464</v>
      </c>
      <c r="BH74" s="34">
        <f t="shared" si="128"/>
        <v>12.67626497206071</v>
      </c>
      <c r="BI74" s="3">
        <f t="shared" si="49"/>
        <v>1200</v>
      </c>
      <c r="BJ74" s="3">
        <f t="shared" si="107"/>
        <v>871.9487235016488</v>
      </c>
      <c r="BK74" s="3">
        <f t="shared" si="50"/>
        <v>1200</v>
      </c>
      <c r="BL74" s="3">
        <f t="shared" si="108"/>
        <v>93.05381634207319</v>
      </c>
      <c r="BM74" s="21"/>
      <c r="BN74" s="21"/>
      <c r="BO74" s="3">
        <f t="shared" si="110"/>
        <v>924.1441826086954</v>
      </c>
      <c r="BP74" s="3">
        <f t="shared" si="111"/>
        <v>43.5636731535465</v>
      </c>
      <c r="BQ74" s="3">
        <f t="shared" si="120"/>
        <v>924.1441826086954</v>
      </c>
      <c r="BR74" s="3">
        <f t="shared" si="53"/>
        <v>275.85581739130464</v>
      </c>
      <c r="BS74" s="3">
        <f t="shared" si="112"/>
        <v>5.9829456115423625</v>
      </c>
      <c r="BT74" s="21"/>
      <c r="BU74" s="3">
        <f t="shared" si="54"/>
        <v>1200</v>
      </c>
      <c r="BV74" s="3">
        <f t="shared" si="113"/>
        <v>43.08047052873759</v>
      </c>
      <c r="BW74" s="3">
        <f t="shared" si="114"/>
        <v>924.1441826086954</v>
      </c>
      <c r="BX74" s="3">
        <f t="shared" si="115"/>
        <v>29.238296714616</v>
      </c>
      <c r="BY74" s="3">
        <f t="shared" si="121"/>
        <v>924.1441826086954</v>
      </c>
      <c r="BZ74" s="3">
        <f t="shared" si="57"/>
        <v>275.85581739130464</v>
      </c>
      <c r="CA74" s="3">
        <f t="shared" si="116"/>
        <v>69.89190734795193</v>
      </c>
      <c r="CB74" s="3">
        <f t="shared" si="122"/>
        <v>924.1441826086954</v>
      </c>
      <c r="CC74" s="3">
        <f t="shared" si="59"/>
        <v>275.85581739130464</v>
      </c>
      <c r="CD74" s="3">
        <f t="shared" si="117"/>
        <v>31.028822115756803</v>
      </c>
      <c r="CE74" s="3">
        <f t="shared" si="70"/>
        <v>282.53953961352687</v>
      </c>
      <c r="CF74" s="3">
        <f t="shared" si="129"/>
        <v>29.967223593128423</v>
      </c>
      <c r="CG74" s="34">
        <f t="shared" si="118"/>
        <v>0</v>
      </c>
      <c r="CH74" s="34">
        <f t="shared" si="119"/>
        <v>0</v>
      </c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</row>
    <row r="75" spans="1:174" s="15" customFormat="1" ht="14.25">
      <c r="A75" s="20">
        <f t="shared" si="73"/>
        <v>2063</v>
      </c>
      <c r="B75" s="46">
        <v>4478.452974000001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1"/>
      <c r="N75" s="21"/>
      <c r="O75" s="19"/>
      <c r="P75" s="14">
        <f t="shared" si="123"/>
        <v>38.579526962234624</v>
      </c>
      <c r="Q75" s="14">
        <f t="shared" si="124"/>
        <v>3.5666594773873754</v>
      </c>
      <c r="R75" s="14">
        <f t="shared" si="125"/>
        <v>0</v>
      </c>
      <c r="S75" s="14">
        <f t="shared" si="126"/>
        <v>240.39335317390487</v>
      </c>
      <c r="T75" s="14">
        <f t="shared" si="68"/>
        <v>282.53953961352687</v>
      </c>
      <c r="U75" s="1">
        <f t="shared" si="134"/>
        <v>120</v>
      </c>
      <c r="V75" s="1">
        <f t="shared" si="135"/>
        <v>0</v>
      </c>
      <c r="W75" s="1">
        <f t="shared" si="136"/>
        <v>0</v>
      </c>
      <c r="X75" s="1">
        <f t="shared" si="137"/>
        <v>183.3125009661835</v>
      </c>
      <c r="Y75" s="1">
        <f t="shared" si="138"/>
        <v>303.3125009661835</v>
      </c>
      <c r="Z75" s="3">
        <f t="shared" si="88"/>
        <v>762.9293759617271</v>
      </c>
      <c r="AA75" s="1">
        <f t="shared" si="89"/>
        <v>183.3125009661835</v>
      </c>
      <c r="AB75" s="15">
        <f t="shared" si="90"/>
        <v>946.2418769279107</v>
      </c>
      <c r="AC75" s="2">
        <f t="shared" si="91"/>
        <v>112.08106080236611</v>
      </c>
      <c r="AD75" s="2">
        <f t="shared" si="92"/>
        <v>120</v>
      </c>
      <c r="AE75" s="2">
        <f t="shared" si="93"/>
        <v>20.850832234361917</v>
      </c>
      <c r="AF75" s="2">
        <f t="shared" si="94"/>
        <v>0</v>
      </c>
      <c r="AG75" s="2">
        <f t="shared" si="95"/>
        <v>0.8262300353613579</v>
      </c>
      <c r="AH75" s="2">
        <f t="shared" si="96"/>
        <v>0</v>
      </c>
      <c r="AI75" s="4">
        <f>SUM(AC75:AH75)</f>
        <v>253.75812307208938</v>
      </c>
      <c r="AJ75" s="2">
        <f t="shared" si="97"/>
        <v>896.6874990338166</v>
      </c>
      <c r="AK75" s="2">
        <f t="shared" si="98"/>
        <v>303.3125009661835</v>
      </c>
      <c r="AL75" s="2">
        <f t="shared" si="47"/>
        <v>1200</v>
      </c>
      <c r="AM75" s="19"/>
      <c r="AN75" s="19"/>
      <c r="AO75" s="19"/>
      <c r="AP75" s="19"/>
      <c r="AQ75" s="19"/>
      <c r="AR75" s="19"/>
      <c r="AS75" s="19"/>
      <c r="AT75" s="19"/>
      <c r="AU75" s="23"/>
      <c r="AV75" s="19"/>
      <c r="AW75" s="19"/>
      <c r="AX75" s="19"/>
      <c r="AY75" s="19"/>
      <c r="AZ75" s="19"/>
      <c r="BA75" s="19"/>
      <c r="BB75" s="19"/>
      <c r="BC75" s="4">
        <f t="shared" si="69"/>
        <v>282.53953961352687</v>
      </c>
      <c r="BD75" s="11">
        <f t="shared" si="127"/>
        <v>12.728822284469155</v>
      </c>
      <c r="BE75" s="21"/>
      <c r="BF75" s="21"/>
      <c r="BG75" s="3">
        <f t="shared" si="82"/>
        <v>303.3125009661835</v>
      </c>
      <c r="BH75" s="34">
        <f t="shared" si="128"/>
        <v>13.664674780519066</v>
      </c>
      <c r="BI75" s="3">
        <f t="shared" si="49"/>
        <v>1200</v>
      </c>
      <c r="BJ75" s="3">
        <f t="shared" si="107"/>
        <v>854.8516897074986</v>
      </c>
      <c r="BK75" s="3">
        <f t="shared" si="50"/>
        <v>1200</v>
      </c>
      <c r="BL75" s="3">
        <f t="shared" si="108"/>
        <v>91.22923170791489</v>
      </c>
      <c r="BM75" s="21"/>
      <c r="BN75" s="21"/>
      <c r="BO75" s="3">
        <f t="shared" si="110"/>
        <v>896.6874990338166</v>
      </c>
      <c r="BP75" s="3">
        <f t="shared" si="111"/>
        <v>41.44056809628004</v>
      </c>
      <c r="BQ75" s="3">
        <f t="shared" si="120"/>
        <v>896.6874990338166</v>
      </c>
      <c r="BR75" s="3">
        <f t="shared" si="53"/>
        <v>303.3125009661835</v>
      </c>
      <c r="BS75" s="3">
        <f t="shared" si="112"/>
        <v>5.99252449125142</v>
      </c>
      <c r="BT75" s="21"/>
      <c r="BU75" s="3">
        <f t="shared" si="54"/>
        <v>1200</v>
      </c>
      <c r="BV75" s="3">
        <f t="shared" si="113"/>
        <v>42.23575542033096</v>
      </c>
      <c r="BW75" s="3">
        <f t="shared" si="114"/>
        <v>896.6874990338166</v>
      </c>
      <c r="BX75" s="3">
        <f t="shared" si="115"/>
        <v>27.81334856109683</v>
      </c>
      <c r="BY75" s="3">
        <f t="shared" si="121"/>
        <v>896.6874990338166</v>
      </c>
      <c r="BZ75" s="3">
        <f t="shared" si="57"/>
        <v>303.3125009661835</v>
      </c>
      <c r="CA75" s="3">
        <f t="shared" si="116"/>
        <v>69.39690852329528</v>
      </c>
      <c r="CB75" s="3">
        <f t="shared" si="122"/>
        <v>896.6874990338166</v>
      </c>
      <c r="CC75" s="3">
        <f t="shared" si="59"/>
        <v>303.3125009661835</v>
      </c>
      <c r="CD75" s="3">
        <f t="shared" si="117"/>
        <v>30.52048409039937</v>
      </c>
      <c r="CE75" s="3">
        <f t="shared" si="70"/>
        <v>282.53953961352687</v>
      </c>
      <c r="CF75" s="3">
        <f t="shared" si="129"/>
        <v>29.379630973655313</v>
      </c>
      <c r="CG75" s="34">
        <f t="shared" si="118"/>
        <v>0</v>
      </c>
      <c r="CH75" s="34">
        <f t="shared" si="119"/>
        <v>0</v>
      </c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</row>
    <row r="76" spans="1:174" s="15" customFormat="1" ht="14.25">
      <c r="A76" s="20">
        <f t="shared" si="73"/>
        <v>2064</v>
      </c>
      <c r="B76" s="46">
        <v>4478.452974000001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1"/>
      <c r="N76" s="21"/>
      <c r="O76" s="19"/>
      <c r="P76" s="14">
        <f t="shared" si="123"/>
        <v>38.634216387325026</v>
      </c>
      <c r="Q76" s="14">
        <f t="shared" si="124"/>
        <v>3.5119700522969843</v>
      </c>
      <c r="R76" s="14">
        <f t="shared" si="125"/>
        <v>0</v>
      </c>
      <c r="S76" s="14">
        <f t="shared" si="126"/>
        <v>240.39335317390487</v>
      </c>
      <c r="T76" s="14">
        <f t="shared" si="68"/>
        <v>282.53953961352687</v>
      </c>
      <c r="U76" s="1">
        <f t="shared" si="134"/>
        <v>120</v>
      </c>
      <c r="V76" s="1">
        <f t="shared" si="135"/>
        <v>0</v>
      </c>
      <c r="W76" s="1">
        <f t="shared" si="136"/>
        <v>0</v>
      </c>
      <c r="X76" s="1">
        <f t="shared" si="137"/>
        <v>183.3125009661835</v>
      </c>
      <c r="Y76" s="1">
        <f t="shared" si="138"/>
        <v>303.3125009661835</v>
      </c>
      <c r="Z76" s="20"/>
      <c r="AA76" s="1">
        <f t="shared" si="89"/>
        <v>183.3125009661835</v>
      </c>
      <c r="AB76" s="15">
        <f aca="true" t="shared" si="140" ref="AB76:AB117">AA76</f>
        <v>183.3125009661835</v>
      </c>
      <c r="AC76" s="19"/>
      <c r="AD76" s="2">
        <f t="shared" si="92"/>
        <v>120</v>
      </c>
      <c r="AE76" s="19"/>
      <c r="AF76" s="2">
        <f t="shared" si="94"/>
        <v>0</v>
      </c>
      <c r="AG76" s="19"/>
      <c r="AH76" s="2">
        <f t="shared" si="96"/>
        <v>0</v>
      </c>
      <c r="AI76" s="2">
        <f>AD76+AF76+AH76</f>
        <v>120</v>
      </c>
      <c r="AJ76" s="19"/>
      <c r="AK76" s="2">
        <f aca="true" t="shared" si="141" ref="AK76:AK117">AA76+AD76+AF76+AH76</f>
        <v>303.3125009661835</v>
      </c>
      <c r="AL76" s="2">
        <f t="shared" si="47"/>
        <v>303.3125009661835</v>
      </c>
      <c r="AM76" s="19"/>
      <c r="AN76" s="19"/>
      <c r="AO76" s="19"/>
      <c r="AP76" s="19"/>
      <c r="AQ76" s="19"/>
      <c r="AR76" s="19"/>
      <c r="AS76" s="19"/>
      <c r="AT76" s="19"/>
      <c r="AU76" s="23"/>
      <c r="AV76" s="19"/>
      <c r="AW76" s="19"/>
      <c r="AX76" s="19"/>
      <c r="AY76" s="19"/>
      <c r="AZ76" s="19"/>
      <c r="BA76" s="19"/>
      <c r="BB76" s="19"/>
      <c r="BC76" s="4">
        <f t="shared" si="69"/>
        <v>282.53953961352687</v>
      </c>
      <c r="BD76" s="11">
        <f t="shared" si="127"/>
        <v>12.479237533793288</v>
      </c>
      <c r="BE76" s="21"/>
      <c r="BF76" s="21"/>
      <c r="BG76" s="3">
        <f t="shared" si="82"/>
        <v>303.3125009661835</v>
      </c>
      <c r="BH76" s="34">
        <f t="shared" si="128"/>
        <v>13.396739980901044</v>
      </c>
      <c r="BI76" s="3">
        <f t="shared" si="49"/>
        <v>303.3125009661835</v>
      </c>
      <c r="BJ76" s="3">
        <f t="shared" si="107"/>
        <v>211.8359509479978</v>
      </c>
      <c r="BK76" s="3">
        <f t="shared" si="50"/>
        <v>303.3125009661835</v>
      </c>
      <c r="BL76" s="3">
        <f t="shared" si="108"/>
        <v>22.606998717770516</v>
      </c>
      <c r="BM76" s="21"/>
      <c r="BN76" s="21"/>
      <c r="BO76" s="21"/>
      <c r="BP76" s="21"/>
      <c r="BQ76" s="21"/>
      <c r="BR76" s="3">
        <f t="shared" si="53"/>
        <v>303.3125009661835</v>
      </c>
      <c r="BS76" s="3">
        <f t="shared" si="112"/>
        <v>2.511888746418946</v>
      </c>
      <c r="BT76" s="21"/>
      <c r="BU76" s="3">
        <f t="shared" si="54"/>
        <v>303.3125009661835</v>
      </c>
      <c r="BV76" s="3">
        <f t="shared" si="113"/>
        <v>10.466203110078942</v>
      </c>
      <c r="BW76" s="21"/>
      <c r="BX76" s="21"/>
      <c r="BY76" s="21"/>
      <c r="BZ76" s="3">
        <f t="shared" si="57"/>
        <v>303.3125009661835</v>
      </c>
      <c r="CA76" s="3">
        <f t="shared" si="116"/>
        <v>24.281591215383145</v>
      </c>
      <c r="CB76" s="21"/>
      <c r="CC76" s="3">
        <f t="shared" si="59"/>
        <v>303.3125009661835</v>
      </c>
      <c r="CD76" s="3">
        <f t="shared" si="117"/>
        <v>8.372962488063154</v>
      </c>
      <c r="CE76" s="3">
        <f t="shared" si="70"/>
        <v>282.53953961352687</v>
      </c>
      <c r="CF76" s="3">
        <f t="shared" si="129"/>
        <v>28.803559778093444</v>
      </c>
      <c r="CG76" s="34">
        <f t="shared" si="118"/>
        <v>0</v>
      </c>
      <c r="CH76" s="34">
        <f t="shared" si="119"/>
        <v>0</v>
      </c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</row>
    <row r="77" spans="1:174" s="15" customFormat="1" ht="14.25">
      <c r="A77" s="20">
        <f aca="true" t="shared" si="142" ref="A77:A108">A76+1</f>
        <v>2065</v>
      </c>
      <c r="B77" s="46">
        <v>4412.006694000001</v>
      </c>
      <c r="C77" s="23"/>
      <c r="D77" s="19"/>
      <c r="E77" s="19"/>
      <c r="F77" s="19"/>
      <c r="G77" s="19"/>
      <c r="H77" s="19"/>
      <c r="I77" s="19"/>
      <c r="J77" s="19"/>
      <c r="K77" s="19"/>
      <c r="L77" s="19"/>
      <c r="M77" s="21"/>
      <c r="N77" s="21"/>
      <c r="O77" s="19"/>
      <c r="P77" s="14">
        <f t="shared" si="123"/>
        <v>38.74784200417771</v>
      </c>
      <c r="Q77" s="14">
        <f t="shared" si="124"/>
        <v>7.208396737940358</v>
      </c>
      <c r="R77" s="14">
        <f t="shared" si="125"/>
        <v>0.28563818579251166</v>
      </c>
      <c r="S77" s="14">
        <f t="shared" si="126"/>
        <v>263.75434626049514</v>
      </c>
      <c r="T77" s="14">
        <f t="shared" si="68"/>
        <v>309.99622318840574</v>
      </c>
      <c r="U77" s="1">
        <f t="shared" si="134"/>
        <v>120</v>
      </c>
      <c r="V77" s="1">
        <f t="shared" si="135"/>
        <v>0</v>
      </c>
      <c r="W77" s="1">
        <f t="shared" si="136"/>
        <v>0</v>
      </c>
      <c r="X77" s="1">
        <f t="shared" si="137"/>
        <v>183.3125009661835</v>
      </c>
      <c r="Y77" s="1">
        <f t="shared" si="138"/>
        <v>303.3125009661835</v>
      </c>
      <c r="Z77" s="20"/>
      <c r="AA77" s="1">
        <f t="shared" si="89"/>
        <v>183.3125009661835</v>
      </c>
      <c r="AB77" s="15">
        <f t="shared" si="140"/>
        <v>183.3125009661835</v>
      </c>
      <c r="AC77" s="19"/>
      <c r="AD77" s="2">
        <f t="shared" si="92"/>
        <v>120</v>
      </c>
      <c r="AE77" s="19"/>
      <c r="AF77" s="2">
        <f t="shared" si="94"/>
        <v>0</v>
      </c>
      <c r="AG77" s="19"/>
      <c r="AH77" s="2">
        <f t="shared" si="96"/>
        <v>0</v>
      </c>
      <c r="AI77" s="2">
        <f aca="true" t="shared" si="143" ref="AI77:AI116">AD77+AF77+AH77</f>
        <v>120</v>
      </c>
      <c r="AJ77" s="19"/>
      <c r="AK77" s="2">
        <f t="shared" si="141"/>
        <v>303.3125009661835</v>
      </c>
      <c r="AL77" s="2">
        <f t="shared" si="47"/>
        <v>303.3125009661835</v>
      </c>
      <c r="AM77" s="19"/>
      <c r="AN77" s="19"/>
      <c r="AO77" s="19"/>
      <c r="AP77" s="19"/>
      <c r="AQ77" s="19"/>
      <c r="AR77" s="19"/>
      <c r="AS77" s="19"/>
      <c r="AT77" s="19"/>
      <c r="AU77" s="23"/>
      <c r="AV77" s="19"/>
      <c r="AW77" s="19"/>
      <c r="AX77" s="19"/>
      <c r="AY77" s="19"/>
      <c r="AZ77" s="19"/>
      <c r="BA77" s="19"/>
      <c r="BB77" s="19"/>
      <c r="BC77" s="4">
        <f t="shared" si="69"/>
        <v>309.99622318840574</v>
      </c>
      <c r="BD77" s="11">
        <f t="shared" si="127"/>
        <v>13.4234778047539</v>
      </c>
      <c r="BE77" s="21"/>
      <c r="BF77" s="21"/>
      <c r="BG77" s="3">
        <f t="shared" si="82"/>
        <v>303.3125009661835</v>
      </c>
      <c r="BH77" s="34">
        <f t="shared" si="128"/>
        <v>13.134058804804948</v>
      </c>
      <c r="BI77" s="3">
        <f t="shared" si="49"/>
        <v>303.3125009661835</v>
      </c>
      <c r="BJ77" s="3">
        <f t="shared" si="107"/>
        <v>207.68230485097823</v>
      </c>
      <c r="BK77" s="3">
        <f t="shared" si="50"/>
        <v>303.3125009661835</v>
      </c>
      <c r="BL77" s="3">
        <f t="shared" si="108"/>
        <v>22.16372423310835</v>
      </c>
      <c r="BM77" s="21"/>
      <c r="BN77" s="21"/>
      <c r="BO77" s="21"/>
      <c r="BP77" s="21"/>
      <c r="BQ77" s="21"/>
      <c r="BR77" s="3">
        <f t="shared" si="53"/>
        <v>303.3125009661835</v>
      </c>
      <c r="BS77" s="3">
        <f t="shared" si="112"/>
        <v>2.462636025900928</v>
      </c>
      <c r="BT77" s="21"/>
      <c r="BU77" s="3">
        <f t="shared" si="54"/>
        <v>303.3125009661835</v>
      </c>
      <c r="BV77" s="3">
        <f t="shared" si="113"/>
        <v>10.260983441253867</v>
      </c>
      <c r="BW77" s="21"/>
      <c r="BX77" s="21"/>
      <c r="BY77" s="21"/>
      <c r="BZ77" s="3">
        <f t="shared" si="57"/>
        <v>303.3125009661835</v>
      </c>
      <c r="CA77" s="3">
        <f t="shared" si="116"/>
        <v>23.805481583708968</v>
      </c>
      <c r="CB77" s="21"/>
      <c r="CC77" s="3">
        <f t="shared" si="59"/>
        <v>303.3125009661835</v>
      </c>
      <c r="CD77" s="3">
        <f t="shared" si="117"/>
        <v>8.208786753003093</v>
      </c>
      <c r="CE77" s="3">
        <f t="shared" si="70"/>
        <v>309.99622318840574</v>
      </c>
      <c r="CF77" s="3">
        <f t="shared" si="129"/>
        <v>30.982978273482075</v>
      </c>
      <c r="CG77" s="34">
        <f t="shared" si="118"/>
        <v>0</v>
      </c>
      <c r="CH77" s="34">
        <f t="shared" si="119"/>
        <v>0</v>
      </c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</row>
    <row r="78" spans="1:174" s="15" customFormat="1" ht="14.25">
      <c r="A78" s="20">
        <f t="shared" si="142"/>
        <v>2066</v>
      </c>
      <c r="B78" s="46">
        <v>4429.161756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1"/>
      <c r="N78" s="21"/>
      <c r="O78" s="19"/>
      <c r="P78" s="19"/>
      <c r="Q78" s="19"/>
      <c r="R78" s="19"/>
      <c r="S78" s="19"/>
      <c r="T78" s="19"/>
      <c r="U78" s="1">
        <f t="shared" si="134"/>
        <v>120</v>
      </c>
      <c r="V78" s="1">
        <f t="shared" si="135"/>
        <v>0</v>
      </c>
      <c r="W78" s="1">
        <f t="shared" si="136"/>
        <v>0</v>
      </c>
      <c r="X78" s="1">
        <f t="shared" si="137"/>
        <v>211.0091555555556</v>
      </c>
      <c r="Y78" s="1">
        <f t="shared" si="138"/>
        <v>331.0091555555556</v>
      </c>
      <c r="Z78" s="20"/>
      <c r="AA78" s="1">
        <f t="shared" si="89"/>
        <v>211.0091555555556</v>
      </c>
      <c r="AB78" s="15">
        <f>AA78</f>
        <v>211.0091555555556</v>
      </c>
      <c r="AC78" s="19"/>
      <c r="AD78" s="2">
        <f t="shared" si="92"/>
        <v>120</v>
      </c>
      <c r="AE78" s="19"/>
      <c r="AF78" s="2">
        <f t="shared" si="94"/>
        <v>0</v>
      </c>
      <c r="AG78" s="19"/>
      <c r="AH78" s="2">
        <f t="shared" si="96"/>
        <v>0</v>
      </c>
      <c r="AI78" s="2">
        <f t="shared" si="143"/>
        <v>120</v>
      </c>
      <c r="AJ78" s="19"/>
      <c r="AK78" s="2">
        <f t="shared" si="141"/>
        <v>331.0091555555556</v>
      </c>
      <c r="AL78" s="2">
        <f t="shared" si="47"/>
        <v>331.0091555555556</v>
      </c>
      <c r="AM78" s="19"/>
      <c r="AN78" s="19"/>
      <c r="AO78" s="19"/>
      <c r="AP78" s="19"/>
      <c r="AQ78" s="19"/>
      <c r="AR78" s="19"/>
      <c r="AS78" s="19"/>
      <c r="AT78" s="19"/>
      <c r="AU78" s="23"/>
      <c r="AV78" s="19"/>
      <c r="AW78" s="19"/>
      <c r="AX78" s="19"/>
      <c r="AY78" s="19"/>
      <c r="AZ78" s="19"/>
      <c r="BA78" s="19"/>
      <c r="BB78" s="19"/>
      <c r="BC78" s="23"/>
      <c r="BD78" s="23"/>
      <c r="BE78" s="21"/>
      <c r="BF78" s="21"/>
      <c r="BG78" s="3">
        <f aca="true" t="shared" si="144" ref="BG78:BG109">Y78</f>
        <v>331.0091555555556</v>
      </c>
      <c r="BH78" s="34">
        <f t="shared" si="128"/>
        <v>14.052334558035477</v>
      </c>
      <c r="BI78" s="3">
        <f t="shared" si="49"/>
        <v>331.0091555555556</v>
      </c>
      <c r="BJ78" s="3">
        <f t="shared" si="107"/>
        <v>222.20254019893605</v>
      </c>
      <c r="BK78" s="3">
        <f t="shared" si="50"/>
        <v>331.0091555555556</v>
      </c>
      <c r="BL78" s="3">
        <f t="shared" si="108"/>
        <v>23.713314566684872</v>
      </c>
      <c r="BM78" s="21"/>
      <c r="BN78" s="21"/>
      <c r="BO78" s="21"/>
      <c r="BP78" s="21"/>
      <c r="BQ78" s="21"/>
      <c r="BR78" s="3">
        <f t="shared" si="53"/>
        <v>331.0091555555556</v>
      </c>
      <c r="BS78" s="3">
        <f t="shared" si="112"/>
        <v>2.634812729631652</v>
      </c>
      <c r="BT78" s="21"/>
      <c r="BU78" s="3">
        <f t="shared" si="54"/>
        <v>331.0091555555556</v>
      </c>
      <c r="BV78" s="3">
        <f t="shared" si="113"/>
        <v>10.978386373465218</v>
      </c>
      <c r="BW78" s="21"/>
      <c r="BX78" s="21"/>
      <c r="BY78" s="21"/>
      <c r="BZ78" s="3">
        <f t="shared" si="57"/>
        <v>331.0091555555556</v>
      </c>
      <c r="CA78" s="3">
        <f t="shared" si="116"/>
        <v>25.469856386439304</v>
      </c>
      <c r="CB78" s="21"/>
      <c r="CC78" s="3">
        <f t="shared" si="59"/>
        <v>331.0091555555556</v>
      </c>
      <c r="CD78" s="3">
        <f t="shared" si="117"/>
        <v>8.782709098772175</v>
      </c>
      <c r="CE78" s="21"/>
      <c r="CF78" s="21"/>
      <c r="CG78" s="34">
        <f t="shared" si="118"/>
        <v>0</v>
      </c>
      <c r="CH78" s="34">
        <f t="shared" si="119"/>
        <v>0</v>
      </c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</row>
    <row r="79" spans="1:174" s="15" customFormat="1" ht="14.25">
      <c r="A79" s="20">
        <f t="shared" si="142"/>
        <v>2067</v>
      </c>
      <c r="B79" s="46">
        <v>4429.161756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1"/>
      <c r="N79" s="21"/>
      <c r="O79" s="19"/>
      <c r="P79" s="19"/>
      <c r="Q79" s="19"/>
      <c r="R79" s="19"/>
      <c r="S79" s="19"/>
      <c r="T79" s="19"/>
      <c r="U79" s="1">
        <f t="shared" si="134"/>
        <v>120</v>
      </c>
      <c r="V79" s="1">
        <f t="shared" si="135"/>
        <v>0</v>
      </c>
      <c r="W79" s="1">
        <f t="shared" si="136"/>
        <v>0</v>
      </c>
      <c r="X79" s="1">
        <f t="shared" si="137"/>
        <v>211.0091555555556</v>
      </c>
      <c r="Y79" s="1">
        <f t="shared" si="138"/>
        <v>331.0091555555556</v>
      </c>
      <c r="Z79" s="20"/>
      <c r="AA79" s="1">
        <f t="shared" si="89"/>
        <v>211.0091555555556</v>
      </c>
      <c r="AB79" s="15">
        <f t="shared" si="140"/>
        <v>211.0091555555556</v>
      </c>
      <c r="AC79" s="19"/>
      <c r="AD79" s="2">
        <f t="shared" si="92"/>
        <v>120</v>
      </c>
      <c r="AE79" s="19"/>
      <c r="AF79" s="2">
        <f t="shared" si="94"/>
        <v>0</v>
      </c>
      <c r="AG79" s="19"/>
      <c r="AH79" s="2">
        <f t="shared" si="96"/>
        <v>0</v>
      </c>
      <c r="AI79" s="2">
        <f t="shared" si="143"/>
        <v>120</v>
      </c>
      <c r="AJ79" s="19"/>
      <c r="AK79" s="2">
        <f t="shared" si="141"/>
        <v>331.0091555555556</v>
      </c>
      <c r="AL79" s="2">
        <f t="shared" si="47"/>
        <v>331.0091555555556</v>
      </c>
      <c r="AM79" s="19"/>
      <c r="AN79" s="19"/>
      <c r="AO79" s="19"/>
      <c r="AP79" s="19"/>
      <c r="AQ79" s="19"/>
      <c r="AR79" s="19"/>
      <c r="AS79" s="19"/>
      <c r="AT79" s="19"/>
      <c r="AU79" s="23"/>
      <c r="AV79" s="19"/>
      <c r="AW79" s="19"/>
      <c r="AX79" s="19"/>
      <c r="AY79" s="19"/>
      <c r="AZ79" s="19"/>
      <c r="BA79" s="19"/>
      <c r="BB79" s="19"/>
      <c r="BC79" s="23"/>
      <c r="BD79" s="23"/>
      <c r="BE79" s="21"/>
      <c r="BF79" s="21"/>
      <c r="BG79" s="3">
        <f t="shared" si="144"/>
        <v>331.0091555555556</v>
      </c>
      <c r="BH79" s="34">
        <f t="shared" si="128"/>
        <v>13.776798586309292</v>
      </c>
      <c r="BI79" s="3">
        <f t="shared" si="49"/>
        <v>331.0091555555556</v>
      </c>
      <c r="BJ79" s="3">
        <f t="shared" si="107"/>
        <v>217.8456276460157</v>
      </c>
      <c r="BK79" s="3">
        <f t="shared" si="50"/>
        <v>331.0091555555556</v>
      </c>
      <c r="BL79" s="3">
        <f t="shared" si="108"/>
        <v>23.248347614396934</v>
      </c>
      <c r="BM79" s="21"/>
      <c r="BN79" s="21"/>
      <c r="BO79" s="21"/>
      <c r="BP79" s="21"/>
      <c r="BQ79" s="21"/>
      <c r="BR79" s="3">
        <f t="shared" si="53"/>
        <v>331.0091555555556</v>
      </c>
      <c r="BS79" s="3">
        <f t="shared" si="112"/>
        <v>2.5831497349329924</v>
      </c>
      <c r="BT79" s="21"/>
      <c r="BU79" s="3">
        <f t="shared" si="54"/>
        <v>331.0091555555556</v>
      </c>
      <c r="BV79" s="3">
        <f t="shared" si="113"/>
        <v>10.763123895554134</v>
      </c>
      <c r="BW79" s="21"/>
      <c r="BX79" s="21"/>
      <c r="BY79" s="21"/>
      <c r="BZ79" s="3">
        <f t="shared" si="57"/>
        <v>331.0091555555556</v>
      </c>
      <c r="CA79" s="3">
        <f t="shared" si="116"/>
        <v>24.970447437685596</v>
      </c>
      <c r="CB79" s="21"/>
      <c r="CC79" s="3">
        <f t="shared" si="59"/>
        <v>331.0091555555556</v>
      </c>
      <c r="CD79" s="3">
        <f t="shared" si="117"/>
        <v>8.610499116443307</v>
      </c>
      <c r="CE79" s="21"/>
      <c r="CF79" s="21"/>
      <c r="CG79" s="34">
        <f t="shared" si="118"/>
        <v>0</v>
      </c>
      <c r="CH79" s="34">
        <f t="shared" si="119"/>
        <v>0</v>
      </c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</row>
    <row r="80" spans="1:174" s="15" customFormat="1" ht="14.25">
      <c r="A80" s="20">
        <f t="shared" si="142"/>
        <v>2068</v>
      </c>
      <c r="B80" s="46">
        <v>4429.161756</v>
      </c>
      <c r="C80" s="23"/>
      <c r="D80" s="19"/>
      <c r="E80" s="19"/>
      <c r="F80" s="19"/>
      <c r="G80" s="19"/>
      <c r="H80" s="19"/>
      <c r="I80" s="19"/>
      <c r="J80" s="19"/>
      <c r="K80" s="19"/>
      <c r="L80" s="19"/>
      <c r="M80" s="21"/>
      <c r="N80" s="21"/>
      <c r="O80" s="19"/>
      <c r="P80" s="19"/>
      <c r="Q80" s="19"/>
      <c r="R80" s="19"/>
      <c r="S80" s="19"/>
      <c r="T80" s="19"/>
      <c r="U80" s="1">
        <f t="shared" si="134"/>
        <v>120</v>
      </c>
      <c r="V80" s="1">
        <f t="shared" si="135"/>
        <v>0</v>
      </c>
      <c r="W80" s="1">
        <f t="shared" si="136"/>
        <v>0</v>
      </c>
      <c r="X80" s="1">
        <f t="shared" si="137"/>
        <v>211.0091555555556</v>
      </c>
      <c r="Y80" s="1">
        <f t="shared" si="138"/>
        <v>331.0091555555556</v>
      </c>
      <c r="Z80" s="20"/>
      <c r="AA80" s="1">
        <f t="shared" si="89"/>
        <v>211.0091555555556</v>
      </c>
      <c r="AB80" s="15">
        <f t="shared" si="140"/>
        <v>211.0091555555556</v>
      </c>
      <c r="AC80" s="19"/>
      <c r="AD80" s="2">
        <f t="shared" si="92"/>
        <v>120</v>
      </c>
      <c r="AE80" s="19"/>
      <c r="AF80" s="2">
        <f t="shared" si="94"/>
        <v>0</v>
      </c>
      <c r="AG80" s="19"/>
      <c r="AH80" s="2">
        <f t="shared" si="96"/>
        <v>0</v>
      </c>
      <c r="AI80" s="2">
        <f t="shared" si="143"/>
        <v>120</v>
      </c>
      <c r="AJ80" s="19"/>
      <c r="AK80" s="2">
        <f t="shared" si="141"/>
        <v>331.0091555555556</v>
      </c>
      <c r="AL80" s="2">
        <f t="shared" si="47"/>
        <v>331.0091555555556</v>
      </c>
      <c r="AM80" s="19"/>
      <c r="AN80" s="19"/>
      <c r="AO80" s="19"/>
      <c r="AP80" s="19"/>
      <c r="AQ80" s="19"/>
      <c r="AR80" s="19"/>
      <c r="AS80" s="19"/>
      <c r="AT80" s="19"/>
      <c r="AU80" s="23"/>
      <c r="AV80" s="19"/>
      <c r="AW80" s="19"/>
      <c r="AX80" s="19"/>
      <c r="AY80" s="19"/>
      <c r="AZ80" s="19"/>
      <c r="BA80" s="19"/>
      <c r="BB80" s="19"/>
      <c r="BC80" s="23"/>
      <c r="BD80" s="23"/>
      <c r="BE80" s="21"/>
      <c r="BF80" s="21"/>
      <c r="BG80" s="3">
        <f t="shared" si="144"/>
        <v>331.0091555555556</v>
      </c>
      <c r="BH80" s="34">
        <f t="shared" si="128"/>
        <v>13.506665280695383</v>
      </c>
      <c r="BI80" s="3">
        <f t="shared" si="49"/>
        <v>331.0091555555556</v>
      </c>
      <c r="BJ80" s="3">
        <f t="shared" si="107"/>
        <v>213.5741447509958</v>
      </c>
      <c r="BK80" s="3">
        <f t="shared" si="50"/>
        <v>331.0091555555556</v>
      </c>
      <c r="BL80" s="3">
        <f t="shared" si="108"/>
        <v>22.792497661173464</v>
      </c>
      <c r="BM80" s="21"/>
      <c r="BN80" s="21"/>
      <c r="BO80" s="21"/>
      <c r="BP80" s="21"/>
      <c r="BQ80" s="21"/>
      <c r="BR80" s="3">
        <f t="shared" si="53"/>
        <v>331.0091555555556</v>
      </c>
      <c r="BS80" s="3">
        <f t="shared" si="112"/>
        <v>2.5324997401303846</v>
      </c>
      <c r="BT80" s="21"/>
      <c r="BU80" s="3">
        <f t="shared" si="54"/>
        <v>331.0091555555556</v>
      </c>
      <c r="BV80" s="3">
        <f t="shared" si="113"/>
        <v>10.55208225054327</v>
      </c>
      <c r="BW80" s="21"/>
      <c r="BX80" s="21"/>
      <c r="BY80" s="21"/>
      <c r="BZ80" s="3">
        <f t="shared" si="57"/>
        <v>331.0091555555556</v>
      </c>
      <c r="CA80" s="3">
        <f t="shared" si="116"/>
        <v>24.480830821260387</v>
      </c>
      <c r="CB80" s="21"/>
      <c r="CC80" s="3">
        <f t="shared" si="59"/>
        <v>331.0091555555556</v>
      </c>
      <c r="CD80" s="3">
        <f t="shared" si="117"/>
        <v>8.441665800434615</v>
      </c>
      <c r="CE80" s="21"/>
      <c r="CF80" s="21"/>
      <c r="CG80" s="34">
        <f t="shared" si="118"/>
        <v>0</v>
      </c>
      <c r="CH80" s="34">
        <f t="shared" si="119"/>
        <v>0</v>
      </c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</row>
    <row r="81" spans="1:174" s="15" customFormat="1" ht="14.25">
      <c r="A81" s="20">
        <f t="shared" si="142"/>
        <v>2069</v>
      </c>
      <c r="B81" s="46">
        <v>4479.548724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1"/>
      <c r="N81" s="21"/>
      <c r="O81" s="19"/>
      <c r="P81" s="19"/>
      <c r="Q81" s="19"/>
      <c r="R81" s="19"/>
      <c r="S81" s="19"/>
      <c r="T81" s="19"/>
      <c r="U81" s="1">
        <f t="shared" si="134"/>
        <v>120</v>
      </c>
      <c r="V81" s="1">
        <f t="shared" si="135"/>
        <v>0</v>
      </c>
      <c r="W81" s="1">
        <f t="shared" si="136"/>
        <v>0</v>
      </c>
      <c r="X81" s="1">
        <f t="shared" si="137"/>
        <v>241.76544057971023</v>
      </c>
      <c r="Y81" s="1">
        <f t="shared" si="138"/>
        <v>361.76544057971023</v>
      </c>
      <c r="Z81" s="20"/>
      <c r="AA81" s="1">
        <f aca="true" t="shared" si="145" ref="AA81:AA117">IF($L$3&gt;0,X81,0)</f>
        <v>241.76544057971023</v>
      </c>
      <c r="AB81" s="15">
        <f t="shared" si="140"/>
        <v>241.76544057971023</v>
      </c>
      <c r="AC81" s="19"/>
      <c r="AD81" s="2">
        <f aca="true" t="shared" si="146" ref="AD81:AD117">IF($L$3&gt;0,U81,0)</f>
        <v>120</v>
      </c>
      <c r="AE81" s="19"/>
      <c r="AF81" s="2">
        <f aca="true" t="shared" si="147" ref="AF81:AF117">IF($L$3&gt;0,V81,0)</f>
        <v>0</v>
      </c>
      <c r="AG81" s="19"/>
      <c r="AH81" s="2">
        <f aca="true" t="shared" si="148" ref="AH81:AH117">IF($L$3&gt;0,W81,0)</f>
        <v>0</v>
      </c>
      <c r="AI81" s="2">
        <f t="shared" si="143"/>
        <v>120</v>
      </c>
      <c r="AJ81" s="19"/>
      <c r="AK81" s="2">
        <f t="shared" si="141"/>
        <v>361.76544057971023</v>
      </c>
      <c r="AL81" s="2">
        <f t="shared" si="47"/>
        <v>361.76544057971023</v>
      </c>
      <c r="AM81" s="19"/>
      <c r="AN81" s="19"/>
      <c r="AO81" s="19"/>
      <c r="AP81" s="19"/>
      <c r="AQ81" s="19"/>
      <c r="AR81" s="19"/>
      <c r="AS81" s="19"/>
      <c r="AT81" s="19"/>
      <c r="AU81" s="23"/>
      <c r="AV81" s="19"/>
      <c r="AW81" s="19"/>
      <c r="AX81" s="19"/>
      <c r="AY81" s="19"/>
      <c r="AZ81" s="19"/>
      <c r="BA81" s="19"/>
      <c r="BB81" s="19"/>
      <c r="BC81" s="23"/>
      <c r="BD81" s="23"/>
      <c r="BE81" s="21"/>
      <c r="BF81" s="21"/>
      <c r="BG81" s="3">
        <f t="shared" si="144"/>
        <v>361.76544057971023</v>
      </c>
      <c r="BH81" s="34">
        <f t="shared" si="128"/>
        <v>14.472215996778386</v>
      </c>
      <c r="BI81" s="3">
        <f t="shared" si="49"/>
        <v>361.76544057971023</v>
      </c>
      <c r="BJ81" s="3">
        <f aca="true" t="shared" si="149" ref="BJ81:BJ112">BI81*$CN$40/((1+$H$5)^(A81-$C$2+1))/10^8*IF(A81&lt;$L$4,1,$H$6)</f>
        <v>228.84191544905823</v>
      </c>
      <c r="BK81" s="3">
        <f t="shared" si="50"/>
        <v>361.76544057971023</v>
      </c>
      <c r="BL81" s="3">
        <f aca="true" t="shared" si="150" ref="BL81:BL112">BK81*$CN$41/(1+$H$5)^(A81-$C$2+1)/10^8</f>
        <v>24.421864494563525</v>
      </c>
      <c r="BM81" s="21"/>
      <c r="BN81" s="21"/>
      <c r="BO81" s="21"/>
      <c r="BP81" s="21"/>
      <c r="BQ81" s="21"/>
      <c r="BR81" s="3">
        <f t="shared" si="53"/>
        <v>361.76544057971023</v>
      </c>
      <c r="BS81" s="3">
        <f aca="true" t="shared" si="151" ref="BS81:BS112">BQ81*$CN$43/(1+$H$5)^48/(1+$H$5)^(A81-8-$C$2+1)/10^8+BR81*$CN$43/(1+$H$5)^(A81-$C$2+1)/10^8</f>
        <v>2.7135404993959473</v>
      </c>
      <c r="BT81" s="21"/>
      <c r="BU81" s="3">
        <f t="shared" si="54"/>
        <v>361.76544057971023</v>
      </c>
      <c r="BV81" s="3">
        <f aca="true" t="shared" si="152" ref="BV81:BV112">BU81*$CN$45/(1+$H$5)^(A81-$C$2+1)/10^8</f>
        <v>11.306418747483114</v>
      </c>
      <c r="BW81" s="21"/>
      <c r="BX81" s="21"/>
      <c r="BY81" s="21"/>
      <c r="BZ81" s="3">
        <f t="shared" si="57"/>
        <v>361.76544057971023</v>
      </c>
      <c r="CA81" s="3">
        <f aca="true" t="shared" si="153" ref="CA81:CA112">BY81*$CN$47/(1+$H$5)^33/(1+$H$5)^(A81-8-$C$2+1)/10^8+BZ81*$CN$47/(1+$H$5)^(A81-$C$2+1)/10^8</f>
        <v>26.230891494160822</v>
      </c>
      <c r="CB81" s="21"/>
      <c r="CC81" s="3">
        <f t="shared" si="59"/>
        <v>361.76544057971023</v>
      </c>
      <c r="CD81" s="3">
        <f aca="true" t="shared" si="154" ref="CD81:CD112">CB81*$CN$48/(1+$H$5)^15/(1+$H$5)^(A81-8-$C$2+1)/10^8+CC81*$CN$48/(1+$H$5)^(A81-$C$2+1)/10^8</f>
        <v>9.045134997986493</v>
      </c>
      <c r="CE81" s="21"/>
      <c r="CF81" s="21"/>
      <c r="CG81" s="34">
        <f aca="true" t="shared" si="155" ref="CG81:CG112">IF($L$3&gt;0,0,X81*$CN$51/(1+$H$5)^(A81+1-$C$2+1)/10^8)</f>
        <v>0</v>
      </c>
      <c r="CH81" s="34">
        <f aca="true" t="shared" si="156" ref="CH81:CH112">IF($L$3&gt;0,0,(U81+V81+W81)*$CN$51*$L$5/(1+$H$5)^(A81+1-$C$2+1)/10^8)</f>
        <v>0</v>
      </c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</row>
    <row r="82" spans="1:174" s="15" customFormat="1" ht="14.25">
      <c r="A82" s="20">
        <f t="shared" si="142"/>
        <v>2070</v>
      </c>
      <c r="B82" s="46">
        <v>4479.548724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21"/>
      <c r="N82" s="21"/>
      <c r="O82" s="19"/>
      <c r="P82" s="19"/>
      <c r="Q82" s="19"/>
      <c r="R82" s="19"/>
      <c r="S82" s="19"/>
      <c r="T82" s="19"/>
      <c r="U82" s="1">
        <f t="shared" si="134"/>
        <v>120</v>
      </c>
      <c r="V82" s="1">
        <f t="shared" si="135"/>
        <v>0</v>
      </c>
      <c r="W82" s="1">
        <f t="shared" si="136"/>
        <v>0</v>
      </c>
      <c r="X82" s="1">
        <f t="shared" si="137"/>
        <v>241.76544057971023</v>
      </c>
      <c r="Y82" s="1">
        <f t="shared" si="138"/>
        <v>361.76544057971023</v>
      </c>
      <c r="Z82" s="20"/>
      <c r="AA82" s="1">
        <f t="shared" si="145"/>
        <v>241.76544057971023</v>
      </c>
      <c r="AB82" s="15">
        <f t="shared" si="140"/>
        <v>241.76544057971023</v>
      </c>
      <c r="AC82" s="19"/>
      <c r="AD82" s="2">
        <f t="shared" si="146"/>
        <v>120</v>
      </c>
      <c r="AE82" s="19"/>
      <c r="AF82" s="2">
        <f t="shared" si="147"/>
        <v>0</v>
      </c>
      <c r="AG82" s="19"/>
      <c r="AH82" s="2">
        <f t="shared" si="148"/>
        <v>0</v>
      </c>
      <c r="AI82" s="2">
        <f t="shared" si="143"/>
        <v>120</v>
      </c>
      <c r="AJ82" s="19"/>
      <c r="AK82" s="2">
        <f t="shared" si="141"/>
        <v>361.76544057971023</v>
      </c>
      <c r="AL82" s="2">
        <f aca="true" t="shared" si="157" ref="AL82:AL116">AB82+AI82</f>
        <v>361.76544057971023</v>
      </c>
      <c r="AM82" s="19"/>
      <c r="AN82" s="19"/>
      <c r="AO82" s="19"/>
      <c r="AP82" s="19"/>
      <c r="AQ82" s="19"/>
      <c r="AR82" s="19"/>
      <c r="AS82" s="19"/>
      <c r="AT82" s="19"/>
      <c r="AU82" s="23"/>
      <c r="AV82" s="19"/>
      <c r="AW82" s="19"/>
      <c r="AX82" s="19"/>
      <c r="AY82" s="19"/>
      <c r="AZ82" s="19"/>
      <c r="BA82" s="19"/>
      <c r="BB82" s="19"/>
      <c r="BC82" s="23"/>
      <c r="BD82" s="23"/>
      <c r="BE82" s="21"/>
      <c r="BF82" s="21"/>
      <c r="BG82" s="3">
        <f t="shared" si="144"/>
        <v>361.76544057971023</v>
      </c>
      <c r="BH82" s="34">
        <f t="shared" si="128"/>
        <v>14.188447055665087</v>
      </c>
      <c r="BI82" s="3">
        <f aca="true" t="shared" si="158" ref="BI82:BI117">AB82+AI82</f>
        <v>361.76544057971023</v>
      </c>
      <c r="BJ82" s="3">
        <f t="shared" si="149"/>
        <v>224.35481906770417</v>
      </c>
      <c r="BK82" s="3">
        <f aca="true" t="shared" si="159" ref="BK82:BK117">BI82</f>
        <v>361.76544057971023</v>
      </c>
      <c r="BL82" s="3">
        <f t="shared" si="150"/>
        <v>23.94300440643483</v>
      </c>
      <c r="BM82" s="21"/>
      <c r="BN82" s="21"/>
      <c r="BO82" s="21"/>
      <c r="BP82" s="21"/>
      <c r="BQ82" s="21"/>
      <c r="BR82" s="3">
        <f aca="true" t="shared" si="160" ref="BR82:BR116">AK82</f>
        <v>361.76544057971023</v>
      </c>
      <c r="BS82" s="3">
        <f t="shared" si="151"/>
        <v>2.6603338229372038</v>
      </c>
      <c r="BT82" s="21"/>
      <c r="BU82" s="3">
        <f aca="true" t="shared" si="161" ref="BU82:BU117">AL82</f>
        <v>361.76544057971023</v>
      </c>
      <c r="BV82" s="3">
        <f t="shared" si="152"/>
        <v>11.084724262238348</v>
      </c>
      <c r="BW82" s="21"/>
      <c r="BX82" s="21"/>
      <c r="BY82" s="21"/>
      <c r="BZ82" s="3">
        <f aca="true" t="shared" si="162" ref="BZ82:BZ117">AK82</f>
        <v>361.76544057971023</v>
      </c>
      <c r="CA82" s="3">
        <f t="shared" si="153"/>
        <v>25.71656028839297</v>
      </c>
      <c r="CB82" s="21"/>
      <c r="CC82" s="3">
        <f aca="true" t="shared" si="163" ref="CC82:CC117">AK82</f>
        <v>361.76544057971023</v>
      </c>
      <c r="CD82" s="3">
        <f t="shared" si="154"/>
        <v>8.867779409790678</v>
      </c>
      <c r="CE82" s="21"/>
      <c r="CF82" s="21"/>
      <c r="CG82" s="34">
        <f t="shared" si="155"/>
        <v>0</v>
      </c>
      <c r="CH82" s="34">
        <f t="shared" si="156"/>
        <v>0</v>
      </c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</row>
    <row r="83" spans="1:174" s="15" customFormat="1" ht="14.25">
      <c r="A83" s="20">
        <f t="shared" si="142"/>
        <v>2071</v>
      </c>
      <c r="B83" s="46">
        <v>4479.548724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21"/>
      <c r="N83" s="21"/>
      <c r="O83" s="19"/>
      <c r="P83" s="19"/>
      <c r="Q83" s="19"/>
      <c r="R83" s="19"/>
      <c r="S83" s="19"/>
      <c r="T83" s="19"/>
      <c r="U83" s="1">
        <f t="shared" si="134"/>
        <v>120</v>
      </c>
      <c r="V83" s="1">
        <f t="shared" si="135"/>
        <v>0</v>
      </c>
      <c r="W83" s="1">
        <f t="shared" si="136"/>
        <v>0</v>
      </c>
      <c r="X83" s="1">
        <f t="shared" si="137"/>
        <v>241.76544057971023</v>
      </c>
      <c r="Y83" s="1">
        <f t="shared" si="138"/>
        <v>361.76544057971023</v>
      </c>
      <c r="Z83" s="20"/>
      <c r="AA83" s="1">
        <f t="shared" si="145"/>
        <v>241.76544057971023</v>
      </c>
      <c r="AB83" s="15">
        <f t="shared" si="140"/>
        <v>241.76544057971023</v>
      </c>
      <c r="AC83" s="19"/>
      <c r="AD83" s="2">
        <f t="shared" si="146"/>
        <v>120</v>
      </c>
      <c r="AE83" s="19"/>
      <c r="AF83" s="2">
        <f t="shared" si="147"/>
        <v>0</v>
      </c>
      <c r="AG83" s="19"/>
      <c r="AH83" s="2">
        <f t="shared" si="148"/>
        <v>0</v>
      </c>
      <c r="AI83" s="2">
        <f t="shared" si="143"/>
        <v>120</v>
      </c>
      <c r="AJ83" s="19"/>
      <c r="AK83" s="2">
        <f t="shared" si="141"/>
        <v>361.76544057971023</v>
      </c>
      <c r="AL83" s="2">
        <f t="shared" si="157"/>
        <v>361.76544057971023</v>
      </c>
      <c r="AM83" s="19"/>
      <c r="AN83" s="19"/>
      <c r="AO83" s="19"/>
      <c r="AP83" s="19"/>
      <c r="AQ83" s="19"/>
      <c r="AR83" s="19"/>
      <c r="AS83" s="19"/>
      <c r="AT83" s="19"/>
      <c r="AU83" s="23"/>
      <c r="AV83" s="19"/>
      <c r="AW83" s="19"/>
      <c r="AX83" s="19"/>
      <c r="AY83" s="19"/>
      <c r="AZ83" s="19"/>
      <c r="BA83" s="19"/>
      <c r="BB83" s="19"/>
      <c r="BC83" s="23"/>
      <c r="BD83" s="23"/>
      <c r="BE83" s="21"/>
      <c r="BF83" s="21"/>
      <c r="BG83" s="3">
        <f t="shared" si="144"/>
        <v>361.76544057971023</v>
      </c>
      <c r="BH83" s="34">
        <f aca="true" t="shared" si="164" ref="BH83:BH114">BG83*$CN$49/10^8/(1+$H$5)^(A83-$C$2+1)</f>
        <v>13.910242211436358</v>
      </c>
      <c r="BI83" s="3">
        <f t="shared" si="158"/>
        <v>361.76544057971023</v>
      </c>
      <c r="BJ83" s="3">
        <f t="shared" si="149"/>
        <v>219.95570496833741</v>
      </c>
      <c r="BK83" s="3">
        <f t="shared" si="159"/>
        <v>361.76544057971023</v>
      </c>
      <c r="BL83" s="3">
        <f t="shared" si="150"/>
        <v>23.473533731798852</v>
      </c>
      <c r="BM83" s="21"/>
      <c r="BN83" s="21"/>
      <c r="BO83" s="21"/>
      <c r="BP83" s="21"/>
      <c r="BQ83" s="21"/>
      <c r="BR83" s="3">
        <f t="shared" si="160"/>
        <v>361.76544057971023</v>
      </c>
      <c r="BS83" s="3">
        <f t="shared" si="151"/>
        <v>2.6081704146443174</v>
      </c>
      <c r="BT83" s="21"/>
      <c r="BU83" s="3">
        <f t="shared" si="161"/>
        <v>361.76544057971023</v>
      </c>
      <c r="BV83" s="3">
        <f t="shared" si="152"/>
        <v>10.867376727684656</v>
      </c>
      <c r="BW83" s="21"/>
      <c r="BX83" s="21"/>
      <c r="BY83" s="21"/>
      <c r="BZ83" s="3">
        <f t="shared" si="162"/>
        <v>361.76544057971023</v>
      </c>
      <c r="CA83" s="3">
        <f t="shared" si="153"/>
        <v>25.212314008228397</v>
      </c>
      <c r="CB83" s="21"/>
      <c r="CC83" s="3">
        <f t="shared" si="163"/>
        <v>361.76544057971023</v>
      </c>
      <c r="CD83" s="3">
        <f t="shared" si="154"/>
        <v>8.693901382147724</v>
      </c>
      <c r="CE83" s="21"/>
      <c r="CF83" s="21"/>
      <c r="CG83" s="34">
        <f t="shared" si="155"/>
        <v>0</v>
      </c>
      <c r="CH83" s="34">
        <f t="shared" si="156"/>
        <v>0</v>
      </c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</row>
    <row r="84" spans="1:174" s="15" customFormat="1" ht="14.25">
      <c r="A84" s="20">
        <f t="shared" si="142"/>
        <v>2072</v>
      </c>
      <c r="B84" s="46">
        <v>4488.266511000001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21"/>
      <c r="N84" s="21"/>
      <c r="O84" s="19"/>
      <c r="P84" s="19"/>
      <c r="Q84" s="19"/>
      <c r="R84" s="19"/>
      <c r="S84" s="19"/>
      <c r="T84" s="19"/>
      <c r="U84" s="1">
        <f t="shared" si="134"/>
        <v>120</v>
      </c>
      <c r="V84" s="1">
        <f t="shared" si="135"/>
        <v>0</v>
      </c>
      <c r="W84" s="1">
        <f t="shared" si="136"/>
        <v>0</v>
      </c>
      <c r="X84" s="1">
        <f t="shared" si="137"/>
        <v>258.26344782608703</v>
      </c>
      <c r="Y84" s="1">
        <f t="shared" si="138"/>
        <v>378.26344782608703</v>
      </c>
      <c r="Z84" s="20"/>
      <c r="AA84" s="1">
        <f t="shared" si="145"/>
        <v>258.26344782608703</v>
      </c>
      <c r="AB84" s="15">
        <f t="shared" si="140"/>
        <v>258.26344782608703</v>
      </c>
      <c r="AC84" s="19"/>
      <c r="AD84" s="2">
        <f t="shared" si="146"/>
        <v>120</v>
      </c>
      <c r="AE84" s="19"/>
      <c r="AF84" s="2">
        <f t="shared" si="147"/>
        <v>0</v>
      </c>
      <c r="AG84" s="19"/>
      <c r="AH84" s="2">
        <f t="shared" si="148"/>
        <v>0</v>
      </c>
      <c r="AI84" s="2">
        <f t="shared" si="143"/>
        <v>120</v>
      </c>
      <c r="AJ84" s="19"/>
      <c r="AK84" s="2">
        <f t="shared" si="141"/>
        <v>378.26344782608703</v>
      </c>
      <c r="AL84" s="2">
        <f t="shared" si="157"/>
        <v>378.26344782608703</v>
      </c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23"/>
      <c r="BD84" s="23"/>
      <c r="BE84" s="21"/>
      <c r="BF84" s="21"/>
      <c r="BG84" s="3">
        <f t="shared" si="144"/>
        <v>378.26344782608703</v>
      </c>
      <c r="BH84" s="34">
        <f t="shared" si="164"/>
        <v>14.25941868051362</v>
      </c>
      <c r="BI84" s="3">
        <f t="shared" si="158"/>
        <v>378.26344782608703</v>
      </c>
      <c r="BJ84" s="3">
        <f t="shared" si="149"/>
        <v>225.4770578856216</v>
      </c>
      <c r="BK84" s="3">
        <f t="shared" si="159"/>
        <v>378.26344782608703</v>
      </c>
      <c r="BL84" s="3">
        <f t="shared" si="150"/>
        <v>24.062769023366734</v>
      </c>
      <c r="BM84" s="21"/>
      <c r="BN84" s="21"/>
      <c r="BO84" s="21"/>
      <c r="BP84" s="21"/>
      <c r="BQ84" s="21"/>
      <c r="BR84" s="3">
        <f t="shared" si="160"/>
        <v>378.26344782608703</v>
      </c>
      <c r="BS84" s="3">
        <f t="shared" si="151"/>
        <v>2.673641002596303</v>
      </c>
      <c r="BT84" s="21"/>
      <c r="BU84" s="3">
        <f t="shared" si="161"/>
        <v>378.26344782608703</v>
      </c>
      <c r="BV84" s="3">
        <f t="shared" si="152"/>
        <v>11.140170844151266</v>
      </c>
      <c r="BW84" s="21"/>
      <c r="BX84" s="21"/>
      <c r="BY84" s="21"/>
      <c r="BZ84" s="3">
        <f t="shared" si="162"/>
        <v>378.26344782608703</v>
      </c>
      <c r="CA84" s="3">
        <f t="shared" si="153"/>
        <v>25.845196358430933</v>
      </c>
      <c r="CB84" s="21"/>
      <c r="CC84" s="3">
        <f t="shared" si="163"/>
        <v>378.26344782608703</v>
      </c>
      <c r="CD84" s="3">
        <f t="shared" si="154"/>
        <v>8.912136675321012</v>
      </c>
      <c r="CE84" s="21"/>
      <c r="CF84" s="21"/>
      <c r="CG84" s="34">
        <f t="shared" si="155"/>
        <v>0</v>
      </c>
      <c r="CH84" s="34">
        <f t="shared" si="156"/>
        <v>0</v>
      </c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</row>
    <row r="85" spans="1:174" s="15" customFormat="1" ht="14.25">
      <c r="A85" s="20">
        <f t="shared" si="142"/>
        <v>2073</v>
      </c>
      <c r="B85" s="46">
        <v>4488.266511000001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21"/>
      <c r="N85" s="21"/>
      <c r="O85" s="19"/>
      <c r="P85" s="19"/>
      <c r="Q85" s="19"/>
      <c r="R85" s="19"/>
      <c r="S85" s="19"/>
      <c r="T85" s="19"/>
      <c r="U85" s="1">
        <f t="shared" si="134"/>
        <v>120</v>
      </c>
      <c r="V85" s="1">
        <f t="shared" si="135"/>
        <v>0</v>
      </c>
      <c r="W85" s="1">
        <f t="shared" si="136"/>
        <v>0</v>
      </c>
      <c r="X85" s="1">
        <f t="shared" si="137"/>
        <v>258.26344782608703</v>
      </c>
      <c r="Y85" s="1">
        <f t="shared" si="138"/>
        <v>378.26344782608703</v>
      </c>
      <c r="Z85" s="20"/>
      <c r="AA85" s="1">
        <f t="shared" si="145"/>
        <v>258.26344782608703</v>
      </c>
      <c r="AB85" s="15">
        <f t="shared" si="140"/>
        <v>258.26344782608703</v>
      </c>
      <c r="AC85" s="19"/>
      <c r="AD85" s="2">
        <f t="shared" si="146"/>
        <v>120</v>
      </c>
      <c r="AE85" s="19"/>
      <c r="AF85" s="2">
        <f t="shared" si="147"/>
        <v>0</v>
      </c>
      <c r="AG85" s="19"/>
      <c r="AH85" s="2">
        <f t="shared" si="148"/>
        <v>0</v>
      </c>
      <c r="AI85" s="2">
        <f t="shared" si="143"/>
        <v>120</v>
      </c>
      <c r="AJ85" s="19"/>
      <c r="AK85" s="2">
        <f t="shared" si="141"/>
        <v>378.26344782608703</v>
      </c>
      <c r="AL85" s="2">
        <f t="shared" si="157"/>
        <v>378.26344782608703</v>
      </c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23"/>
      <c r="BD85" s="23"/>
      <c r="BE85" s="21"/>
      <c r="BF85" s="21"/>
      <c r="BG85" s="3">
        <f t="shared" si="144"/>
        <v>378.26344782608703</v>
      </c>
      <c r="BH85" s="34">
        <f t="shared" si="164"/>
        <v>13.979822235797664</v>
      </c>
      <c r="BI85" s="3">
        <f t="shared" si="158"/>
        <v>378.26344782608703</v>
      </c>
      <c r="BJ85" s="3">
        <f t="shared" si="149"/>
        <v>221.05593910355057</v>
      </c>
      <c r="BK85" s="3">
        <f t="shared" si="159"/>
        <v>378.26344782608703</v>
      </c>
      <c r="BL85" s="3">
        <f t="shared" si="150"/>
        <v>23.590950022908558</v>
      </c>
      <c r="BM85" s="21"/>
      <c r="BN85" s="21"/>
      <c r="BO85" s="21"/>
      <c r="BP85" s="21"/>
      <c r="BQ85" s="21"/>
      <c r="BR85" s="3">
        <f t="shared" si="160"/>
        <v>378.26344782608703</v>
      </c>
      <c r="BS85" s="3">
        <f t="shared" si="151"/>
        <v>2.6212166692120618</v>
      </c>
      <c r="BT85" s="21"/>
      <c r="BU85" s="3">
        <f t="shared" si="161"/>
        <v>378.26344782608703</v>
      </c>
      <c r="BV85" s="3">
        <f t="shared" si="152"/>
        <v>10.921736121716924</v>
      </c>
      <c r="BW85" s="21"/>
      <c r="BX85" s="21"/>
      <c r="BY85" s="21"/>
      <c r="BZ85" s="3">
        <f t="shared" si="162"/>
        <v>378.26344782608703</v>
      </c>
      <c r="CA85" s="3">
        <f t="shared" si="153"/>
        <v>25.338427802383265</v>
      </c>
      <c r="CB85" s="21"/>
      <c r="CC85" s="3">
        <f t="shared" si="163"/>
        <v>378.26344782608703</v>
      </c>
      <c r="CD85" s="3">
        <f t="shared" si="154"/>
        <v>8.73738889737354</v>
      </c>
      <c r="CE85" s="21"/>
      <c r="CF85" s="21"/>
      <c r="CG85" s="34">
        <f t="shared" si="155"/>
        <v>0</v>
      </c>
      <c r="CH85" s="34">
        <f t="shared" si="156"/>
        <v>0</v>
      </c>
      <c r="CJ85" s="2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</row>
    <row r="86" spans="1:174" s="15" customFormat="1" ht="14.25">
      <c r="A86" s="20">
        <f t="shared" si="142"/>
        <v>2074</v>
      </c>
      <c r="B86" s="46">
        <v>4488.266511000001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21"/>
      <c r="N86" s="21"/>
      <c r="O86" s="19"/>
      <c r="P86" s="19"/>
      <c r="Q86" s="19"/>
      <c r="R86" s="19"/>
      <c r="S86" s="19"/>
      <c r="T86" s="19"/>
      <c r="U86" s="1">
        <f t="shared" si="134"/>
        <v>120</v>
      </c>
      <c r="V86" s="1">
        <f t="shared" si="135"/>
        <v>0</v>
      </c>
      <c r="W86" s="1">
        <f t="shared" si="136"/>
        <v>0</v>
      </c>
      <c r="X86" s="1">
        <f t="shared" si="137"/>
        <v>258.26344782608703</v>
      </c>
      <c r="Y86" s="1">
        <f t="shared" si="138"/>
        <v>378.26344782608703</v>
      </c>
      <c r="Z86" s="20"/>
      <c r="AA86" s="1">
        <f t="shared" si="145"/>
        <v>258.26344782608703</v>
      </c>
      <c r="AB86" s="15">
        <f t="shared" si="140"/>
        <v>258.26344782608703</v>
      </c>
      <c r="AC86" s="19"/>
      <c r="AD86" s="2">
        <f t="shared" si="146"/>
        <v>120</v>
      </c>
      <c r="AE86" s="19"/>
      <c r="AF86" s="2">
        <f t="shared" si="147"/>
        <v>0</v>
      </c>
      <c r="AG86" s="19"/>
      <c r="AH86" s="2">
        <f t="shared" si="148"/>
        <v>0</v>
      </c>
      <c r="AI86" s="2">
        <f t="shared" si="143"/>
        <v>120</v>
      </c>
      <c r="AJ86" s="19"/>
      <c r="AK86" s="2">
        <f t="shared" si="141"/>
        <v>378.26344782608703</v>
      </c>
      <c r="AL86" s="2">
        <f t="shared" si="157"/>
        <v>378.26344782608703</v>
      </c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23"/>
      <c r="BD86" s="23"/>
      <c r="BE86" s="21"/>
      <c r="BF86" s="21"/>
      <c r="BG86" s="3">
        <f t="shared" si="144"/>
        <v>378.26344782608703</v>
      </c>
      <c r="BH86" s="34">
        <f t="shared" si="164"/>
        <v>13.70570807431144</v>
      </c>
      <c r="BI86" s="3">
        <f t="shared" si="158"/>
        <v>378.26344782608703</v>
      </c>
      <c r="BJ86" s="3">
        <f t="shared" si="149"/>
        <v>216.72150892504962</v>
      </c>
      <c r="BK86" s="3">
        <f t="shared" si="159"/>
        <v>378.26344782608703</v>
      </c>
      <c r="BL86" s="3">
        <f t="shared" si="150"/>
        <v>23.12838237540055</v>
      </c>
      <c r="BM86" s="21"/>
      <c r="BN86" s="21"/>
      <c r="BO86" s="21"/>
      <c r="BP86" s="21"/>
      <c r="BQ86" s="21"/>
      <c r="BR86" s="3">
        <f t="shared" si="160"/>
        <v>378.26344782608703</v>
      </c>
      <c r="BS86" s="3">
        <f t="shared" si="151"/>
        <v>2.5698202639333947</v>
      </c>
      <c r="BT86" s="21"/>
      <c r="BU86" s="3">
        <f t="shared" si="161"/>
        <v>378.26344782608703</v>
      </c>
      <c r="BV86" s="3">
        <f t="shared" si="152"/>
        <v>10.70758443305581</v>
      </c>
      <c r="BW86" s="21"/>
      <c r="BX86" s="21"/>
      <c r="BY86" s="21"/>
      <c r="BZ86" s="3">
        <f t="shared" si="162"/>
        <v>378.26344782608703</v>
      </c>
      <c r="CA86" s="3">
        <f t="shared" si="153"/>
        <v>24.841595884689482</v>
      </c>
      <c r="CB86" s="21"/>
      <c r="CC86" s="3">
        <f t="shared" si="163"/>
        <v>378.26344782608703</v>
      </c>
      <c r="CD86" s="3">
        <f t="shared" si="154"/>
        <v>8.56606754644465</v>
      </c>
      <c r="CE86" s="21"/>
      <c r="CF86" s="21"/>
      <c r="CG86" s="34">
        <f t="shared" si="155"/>
        <v>0</v>
      </c>
      <c r="CH86" s="34">
        <f t="shared" si="156"/>
        <v>0</v>
      </c>
      <c r="CJ86" s="2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</row>
    <row r="87" spans="1:174" s="15" customFormat="1" ht="14.25">
      <c r="A87" s="20">
        <f t="shared" si="142"/>
        <v>2075</v>
      </c>
      <c r="B87" s="46">
        <v>4503.782331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21"/>
      <c r="N87" s="21"/>
      <c r="O87" s="19"/>
      <c r="P87" s="19"/>
      <c r="Q87" s="19"/>
      <c r="R87" s="19"/>
      <c r="S87" s="19"/>
      <c r="T87" s="19"/>
      <c r="U87" s="1">
        <f t="shared" si="134"/>
        <v>120</v>
      </c>
      <c r="V87" s="1">
        <f t="shared" si="135"/>
        <v>0</v>
      </c>
      <c r="W87" s="1">
        <f t="shared" si="136"/>
        <v>0</v>
      </c>
      <c r="X87" s="1">
        <f t="shared" si="137"/>
        <v>276.7703888888889</v>
      </c>
      <c r="Y87" s="1">
        <f t="shared" si="138"/>
        <v>396.7703888888889</v>
      </c>
      <c r="Z87" s="20"/>
      <c r="AA87" s="1">
        <f t="shared" si="145"/>
        <v>276.7703888888889</v>
      </c>
      <c r="AB87" s="15">
        <f t="shared" si="140"/>
        <v>276.7703888888889</v>
      </c>
      <c r="AC87" s="19"/>
      <c r="AD87" s="2">
        <f t="shared" si="146"/>
        <v>120</v>
      </c>
      <c r="AE87" s="19"/>
      <c r="AF87" s="2">
        <f t="shared" si="147"/>
        <v>0</v>
      </c>
      <c r="AG87" s="19"/>
      <c r="AH87" s="2">
        <f t="shared" si="148"/>
        <v>0</v>
      </c>
      <c r="AI87" s="2">
        <f t="shared" si="143"/>
        <v>120</v>
      </c>
      <c r="AJ87" s="19"/>
      <c r="AK87" s="2">
        <f t="shared" si="141"/>
        <v>396.7703888888889</v>
      </c>
      <c r="AL87" s="2">
        <f t="shared" si="157"/>
        <v>396.7703888888889</v>
      </c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23"/>
      <c r="BD87" s="23"/>
      <c r="BE87" s="21"/>
      <c r="BF87" s="21"/>
      <c r="BG87" s="3">
        <f t="shared" si="144"/>
        <v>396.7703888888889</v>
      </c>
      <c r="BH87" s="34">
        <f t="shared" si="164"/>
        <v>14.094386669787799</v>
      </c>
      <c r="BI87" s="3">
        <f t="shared" si="158"/>
        <v>396.7703888888889</v>
      </c>
      <c r="BJ87" s="3">
        <f t="shared" si="149"/>
        <v>222.86748921601955</v>
      </c>
      <c r="BK87" s="3">
        <f t="shared" si="159"/>
        <v>396.7703888888889</v>
      </c>
      <c r="BL87" s="3">
        <f t="shared" si="150"/>
        <v>23.78427750526691</v>
      </c>
      <c r="BM87" s="21"/>
      <c r="BN87" s="21"/>
      <c r="BO87" s="21"/>
      <c r="BP87" s="21"/>
      <c r="BQ87" s="21"/>
      <c r="BR87" s="3">
        <f t="shared" si="160"/>
        <v>396.7703888888889</v>
      </c>
      <c r="BS87" s="3">
        <f t="shared" si="151"/>
        <v>2.642697500585212</v>
      </c>
      <c r="BT87" s="21"/>
      <c r="BU87" s="3">
        <f t="shared" si="161"/>
        <v>396.7703888888889</v>
      </c>
      <c r="BV87" s="3">
        <f t="shared" si="152"/>
        <v>11.011239585771715</v>
      </c>
      <c r="BW87" s="21"/>
      <c r="BX87" s="21"/>
      <c r="BY87" s="21"/>
      <c r="BZ87" s="3">
        <f t="shared" si="162"/>
        <v>396.7703888888889</v>
      </c>
      <c r="CA87" s="3">
        <f t="shared" si="153"/>
        <v>25.546075838990383</v>
      </c>
      <c r="CB87" s="21"/>
      <c r="CC87" s="3">
        <f t="shared" si="163"/>
        <v>396.7703888888889</v>
      </c>
      <c r="CD87" s="3">
        <f t="shared" si="154"/>
        <v>8.808991668617374</v>
      </c>
      <c r="CE87" s="21"/>
      <c r="CF87" s="21"/>
      <c r="CG87" s="34">
        <f t="shared" si="155"/>
        <v>0</v>
      </c>
      <c r="CH87" s="34">
        <f t="shared" si="156"/>
        <v>0</v>
      </c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</row>
    <row r="88" spans="1:174" s="15" customFormat="1" ht="14.25">
      <c r="A88" s="20">
        <f t="shared" si="142"/>
        <v>2076</v>
      </c>
      <c r="B88" s="46">
        <v>4503.782331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21"/>
      <c r="N88" s="21"/>
      <c r="O88" s="19"/>
      <c r="P88" s="19"/>
      <c r="Q88" s="19"/>
      <c r="R88" s="19"/>
      <c r="S88" s="19"/>
      <c r="T88" s="19"/>
      <c r="U88" s="1">
        <f t="shared" si="134"/>
        <v>120</v>
      </c>
      <c r="V88" s="1">
        <f t="shared" si="135"/>
        <v>0</v>
      </c>
      <c r="W88" s="1">
        <f t="shared" si="136"/>
        <v>0</v>
      </c>
      <c r="X88" s="1">
        <f t="shared" si="137"/>
        <v>267.5715</v>
      </c>
      <c r="Y88" s="1">
        <f t="shared" si="138"/>
        <v>387.5715</v>
      </c>
      <c r="Z88" s="20"/>
      <c r="AA88" s="1">
        <f t="shared" si="145"/>
        <v>267.5715</v>
      </c>
      <c r="AB88" s="15">
        <f t="shared" si="140"/>
        <v>267.5715</v>
      </c>
      <c r="AC88" s="19"/>
      <c r="AD88" s="2">
        <f t="shared" si="146"/>
        <v>120</v>
      </c>
      <c r="AE88" s="19"/>
      <c r="AF88" s="2">
        <f t="shared" si="147"/>
        <v>0</v>
      </c>
      <c r="AG88" s="19"/>
      <c r="AH88" s="2">
        <f t="shared" si="148"/>
        <v>0</v>
      </c>
      <c r="AI88" s="2">
        <f t="shared" si="143"/>
        <v>120</v>
      </c>
      <c r="AJ88" s="19"/>
      <c r="AK88" s="2">
        <f t="shared" si="141"/>
        <v>387.5715</v>
      </c>
      <c r="AL88" s="2">
        <f t="shared" si="157"/>
        <v>387.5715</v>
      </c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23"/>
      <c r="BD88" s="23"/>
      <c r="BE88" s="21"/>
      <c r="BF88" s="21"/>
      <c r="BG88" s="3">
        <f t="shared" si="144"/>
        <v>387.5715</v>
      </c>
      <c r="BH88" s="34">
        <f t="shared" si="164"/>
        <v>13.497663310439021</v>
      </c>
      <c r="BI88" s="3">
        <f t="shared" si="158"/>
        <v>387.5715</v>
      </c>
      <c r="BJ88" s="3">
        <f t="shared" si="149"/>
        <v>213.43180109631703</v>
      </c>
      <c r="BK88" s="3">
        <f t="shared" si="159"/>
        <v>387.5715</v>
      </c>
      <c r="BL88" s="3">
        <f t="shared" si="150"/>
        <v>22.77730683636585</v>
      </c>
      <c r="BM88" s="21"/>
      <c r="BN88" s="21"/>
      <c r="BO88" s="21"/>
      <c r="BP88" s="21"/>
      <c r="BQ88" s="21"/>
      <c r="BR88" s="3">
        <f t="shared" si="160"/>
        <v>387.5715</v>
      </c>
      <c r="BS88" s="3">
        <f t="shared" si="151"/>
        <v>2.5308118707073164</v>
      </c>
      <c r="BT88" s="21"/>
      <c r="BU88" s="3">
        <f t="shared" si="161"/>
        <v>387.5715</v>
      </c>
      <c r="BV88" s="3">
        <f t="shared" si="152"/>
        <v>10.545049461280485</v>
      </c>
      <c r="BW88" s="21"/>
      <c r="BX88" s="21"/>
      <c r="BY88" s="21"/>
      <c r="BZ88" s="3">
        <f t="shared" si="162"/>
        <v>387.5715</v>
      </c>
      <c r="CA88" s="3">
        <f t="shared" si="153"/>
        <v>24.46451475017073</v>
      </c>
      <c r="CB88" s="21"/>
      <c r="CC88" s="3">
        <f t="shared" si="163"/>
        <v>387.5715</v>
      </c>
      <c r="CD88" s="3">
        <f t="shared" si="154"/>
        <v>8.43603956902439</v>
      </c>
      <c r="CE88" s="21"/>
      <c r="CF88" s="21"/>
      <c r="CG88" s="34">
        <f t="shared" si="155"/>
        <v>0</v>
      </c>
      <c r="CH88" s="34">
        <f t="shared" si="156"/>
        <v>0</v>
      </c>
      <c r="CJ88" s="2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</row>
    <row r="89" spans="1:174" s="15" customFormat="1" ht="14.25">
      <c r="A89" s="20">
        <f t="shared" si="142"/>
        <v>2077</v>
      </c>
      <c r="B89" s="46">
        <v>4503.782331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21"/>
      <c r="N89" s="21"/>
      <c r="O89" s="19"/>
      <c r="P89" s="19"/>
      <c r="Q89" s="19"/>
      <c r="R89" s="19"/>
      <c r="S89" s="19"/>
      <c r="T89" s="19"/>
      <c r="U89" s="1">
        <f t="shared" si="134"/>
        <v>120</v>
      </c>
      <c r="V89" s="1">
        <f t="shared" si="135"/>
        <v>0</v>
      </c>
      <c r="W89" s="1">
        <f t="shared" si="136"/>
        <v>0</v>
      </c>
      <c r="X89" s="1">
        <f t="shared" si="137"/>
        <v>257.5727077294687</v>
      </c>
      <c r="Y89" s="1">
        <f t="shared" si="138"/>
        <v>377.5727077294687</v>
      </c>
      <c r="Z89" s="20"/>
      <c r="AA89" s="1">
        <f t="shared" si="145"/>
        <v>257.5727077294687</v>
      </c>
      <c r="AB89" s="15">
        <f t="shared" si="140"/>
        <v>257.5727077294687</v>
      </c>
      <c r="AC89" s="19"/>
      <c r="AD89" s="2">
        <f t="shared" si="146"/>
        <v>120</v>
      </c>
      <c r="AE89" s="19"/>
      <c r="AF89" s="2">
        <f t="shared" si="147"/>
        <v>0</v>
      </c>
      <c r="AG89" s="19"/>
      <c r="AH89" s="2">
        <f t="shared" si="148"/>
        <v>0</v>
      </c>
      <c r="AI89" s="2">
        <f t="shared" si="143"/>
        <v>120</v>
      </c>
      <c r="AJ89" s="19"/>
      <c r="AK89" s="2">
        <f t="shared" si="141"/>
        <v>377.5727077294687</v>
      </c>
      <c r="AL89" s="2">
        <f t="shared" si="157"/>
        <v>377.5727077294687</v>
      </c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23"/>
      <c r="BD89" s="23"/>
      <c r="BE89" s="21"/>
      <c r="BF89" s="21"/>
      <c r="BG89" s="3">
        <f t="shared" si="144"/>
        <v>377.5727077294687</v>
      </c>
      <c r="BH89" s="34">
        <f t="shared" si="164"/>
        <v>12.891610623606288</v>
      </c>
      <c r="BI89" s="3">
        <f t="shared" si="158"/>
        <v>377.5727077294687</v>
      </c>
      <c r="BJ89" s="3">
        <f t="shared" si="149"/>
        <v>203.84859298577442</v>
      </c>
      <c r="BK89" s="3">
        <f t="shared" si="159"/>
        <v>377.5727077294687</v>
      </c>
      <c r="BL89" s="3">
        <f t="shared" si="150"/>
        <v>21.75459292733561</v>
      </c>
      <c r="BM89" s="21"/>
      <c r="BN89" s="21"/>
      <c r="BO89" s="21"/>
      <c r="BP89" s="21"/>
      <c r="BQ89" s="21"/>
      <c r="BR89" s="3">
        <f t="shared" si="160"/>
        <v>377.5727077294687</v>
      </c>
      <c r="BS89" s="3">
        <f t="shared" si="151"/>
        <v>2.417176991926179</v>
      </c>
      <c r="BT89" s="21"/>
      <c r="BU89" s="3">
        <f t="shared" si="161"/>
        <v>377.5727077294687</v>
      </c>
      <c r="BV89" s="3">
        <f t="shared" si="152"/>
        <v>10.071570799692413</v>
      </c>
      <c r="BW89" s="21"/>
      <c r="BX89" s="21"/>
      <c r="BY89" s="21"/>
      <c r="BZ89" s="3">
        <f t="shared" si="162"/>
        <v>377.5727077294687</v>
      </c>
      <c r="CA89" s="3">
        <f t="shared" si="153"/>
        <v>23.366044255286397</v>
      </c>
      <c r="CB89" s="21"/>
      <c r="CC89" s="3">
        <f t="shared" si="163"/>
        <v>377.5727077294687</v>
      </c>
      <c r="CD89" s="3">
        <f t="shared" si="154"/>
        <v>8.05725663975393</v>
      </c>
      <c r="CE89" s="21"/>
      <c r="CF89" s="21"/>
      <c r="CG89" s="34">
        <f t="shared" si="155"/>
        <v>0</v>
      </c>
      <c r="CH89" s="34">
        <f t="shared" si="156"/>
        <v>0</v>
      </c>
      <c r="CJ89" s="2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</row>
    <row r="90" spans="1:174" s="15" customFormat="1" ht="14.25">
      <c r="A90" s="20">
        <f t="shared" si="142"/>
        <v>2078</v>
      </c>
      <c r="B90" s="46">
        <v>4519.819728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21"/>
      <c r="N90" s="21"/>
      <c r="O90" s="19"/>
      <c r="P90" s="19"/>
      <c r="Q90" s="19"/>
      <c r="R90" s="19"/>
      <c r="S90" s="19"/>
      <c r="T90" s="19"/>
      <c r="U90" s="1">
        <f t="shared" si="134"/>
        <v>120</v>
      </c>
      <c r="V90" s="1">
        <f t="shared" si="135"/>
        <v>0</v>
      </c>
      <c r="W90" s="1">
        <f t="shared" si="136"/>
        <v>0</v>
      </c>
      <c r="X90" s="1">
        <f t="shared" si="137"/>
        <v>257.5727077294687</v>
      </c>
      <c r="Y90" s="1">
        <f t="shared" si="138"/>
        <v>377.5727077294687</v>
      </c>
      <c r="Z90" s="20"/>
      <c r="AA90" s="1">
        <f t="shared" si="145"/>
        <v>257.5727077294687</v>
      </c>
      <c r="AB90" s="15">
        <f t="shared" si="140"/>
        <v>257.5727077294687</v>
      </c>
      <c r="AC90" s="19"/>
      <c r="AD90" s="2">
        <f t="shared" si="146"/>
        <v>120</v>
      </c>
      <c r="AE90" s="19"/>
      <c r="AF90" s="2">
        <f t="shared" si="147"/>
        <v>0</v>
      </c>
      <c r="AG90" s="19"/>
      <c r="AH90" s="2">
        <f t="shared" si="148"/>
        <v>0</v>
      </c>
      <c r="AI90" s="2">
        <f t="shared" si="143"/>
        <v>120</v>
      </c>
      <c r="AJ90" s="19"/>
      <c r="AK90" s="2">
        <f t="shared" si="141"/>
        <v>377.5727077294687</v>
      </c>
      <c r="AL90" s="2">
        <f t="shared" si="157"/>
        <v>377.5727077294687</v>
      </c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23"/>
      <c r="BD90" s="23"/>
      <c r="BE90" s="21"/>
      <c r="BF90" s="21"/>
      <c r="BG90" s="3">
        <f t="shared" si="144"/>
        <v>377.5727077294687</v>
      </c>
      <c r="BH90" s="34">
        <f t="shared" si="164"/>
        <v>12.63883394471205</v>
      </c>
      <c r="BI90" s="3">
        <f t="shared" si="158"/>
        <v>377.5727077294687</v>
      </c>
      <c r="BJ90" s="3">
        <f t="shared" si="149"/>
        <v>199.85156175075932</v>
      </c>
      <c r="BK90" s="3">
        <f t="shared" si="159"/>
        <v>377.5727077294687</v>
      </c>
      <c r="BL90" s="3">
        <f t="shared" si="150"/>
        <v>21.328032281701585</v>
      </c>
      <c r="BM90" s="21"/>
      <c r="BN90" s="21"/>
      <c r="BO90" s="21"/>
      <c r="BP90" s="21"/>
      <c r="BQ90" s="21"/>
      <c r="BR90" s="3">
        <f t="shared" si="160"/>
        <v>377.5727077294687</v>
      </c>
      <c r="BS90" s="3">
        <f t="shared" si="151"/>
        <v>2.3697813646335093</v>
      </c>
      <c r="BT90" s="21"/>
      <c r="BU90" s="3">
        <f t="shared" si="161"/>
        <v>377.5727077294687</v>
      </c>
      <c r="BV90" s="3">
        <f t="shared" si="152"/>
        <v>9.87408901930629</v>
      </c>
      <c r="BW90" s="21"/>
      <c r="BX90" s="21"/>
      <c r="BY90" s="21"/>
      <c r="BZ90" s="3">
        <f t="shared" si="162"/>
        <v>377.5727077294687</v>
      </c>
      <c r="CA90" s="3">
        <f t="shared" si="153"/>
        <v>22.90788652479059</v>
      </c>
      <c r="CB90" s="21"/>
      <c r="CC90" s="3">
        <f t="shared" si="163"/>
        <v>377.5727077294687</v>
      </c>
      <c r="CD90" s="3">
        <f t="shared" si="154"/>
        <v>7.899271215445032</v>
      </c>
      <c r="CE90" s="21"/>
      <c r="CF90" s="21"/>
      <c r="CG90" s="34">
        <f t="shared" si="155"/>
        <v>0</v>
      </c>
      <c r="CH90" s="34">
        <f t="shared" si="156"/>
        <v>0</v>
      </c>
      <c r="CJ90" s="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</row>
    <row r="91" spans="1:174" s="15" customFormat="1" ht="14.25">
      <c r="A91" s="20">
        <f t="shared" si="142"/>
        <v>2079</v>
      </c>
      <c r="B91" s="46">
        <v>4519.819728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21"/>
      <c r="N91" s="21"/>
      <c r="O91" s="19"/>
      <c r="P91" s="19"/>
      <c r="Q91" s="19"/>
      <c r="R91" s="19"/>
      <c r="S91" s="19"/>
      <c r="T91" s="19"/>
      <c r="U91" s="1">
        <f aca="true" t="shared" si="165" ref="U91:U122">IF($L$3&gt;0,P51,P43)</f>
        <v>120</v>
      </c>
      <c r="V91" s="1">
        <f aca="true" t="shared" si="166" ref="V91:V122">IF($L$3&gt;0,Q51,Q43)</f>
        <v>0</v>
      </c>
      <c r="W91" s="1">
        <f aca="true" t="shared" si="167" ref="W91:W122">IF($L$3&gt;0,R51,R43)</f>
        <v>0</v>
      </c>
      <c r="X91" s="1">
        <f aca="true" t="shared" si="168" ref="X91:X122">IF($L$3&gt;0,S51,S43)</f>
        <v>276.17046135265696</v>
      </c>
      <c r="Y91" s="1">
        <f aca="true" t="shared" si="169" ref="Y91:Y122">IF($L$3&gt;0,T51,T43)</f>
        <v>396.17046135265696</v>
      </c>
      <c r="Z91" s="20"/>
      <c r="AA91" s="1">
        <f t="shared" si="145"/>
        <v>276.17046135265696</v>
      </c>
      <c r="AB91" s="15">
        <f t="shared" si="140"/>
        <v>276.17046135265696</v>
      </c>
      <c r="AC91" s="19"/>
      <c r="AD91" s="2">
        <f t="shared" si="146"/>
        <v>120</v>
      </c>
      <c r="AE91" s="19"/>
      <c r="AF91" s="2">
        <f t="shared" si="147"/>
        <v>0</v>
      </c>
      <c r="AG91" s="19"/>
      <c r="AH91" s="2">
        <f t="shared" si="148"/>
        <v>0</v>
      </c>
      <c r="AI91" s="2">
        <f t="shared" si="143"/>
        <v>120</v>
      </c>
      <c r="AJ91" s="19"/>
      <c r="AK91" s="2">
        <f t="shared" si="141"/>
        <v>396.17046135265696</v>
      </c>
      <c r="AL91" s="2">
        <f t="shared" si="157"/>
        <v>396.17046135265696</v>
      </c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23"/>
      <c r="BD91" s="23"/>
      <c r="BE91" s="21"/>
      <c r="BF91" s="21"/>
      <c r="BG91" s="3">
        <f t="shared" si="144"/>
        <v>396.17046135265696</v>
      </c>
      <c r="BH91" s="34">
        <f t="shared" si="164"/>
        <v>13.001346501712337</v>
      </c>
      <c r="BI91" s="3">
        <f t="shared" si="158"/>
        <v>396.17046135265696</v>
      </c>
      <c r="BJ91" s="3">
        <f t="shared" si="149"/>
        <v>205.58379155832634</v>
      </c>
      <c r="BK91" s="3">
        <f t="shared" si="159"/>
        <v>396.17046135265696</v>
      </c>
      <c r="BL91" s="3">
        <f t="shared" si="150"/>
        <v>21.939772221639565</v>
      </c>
      <c r="BM91" s="21"/>
      <c r="BN91" s="21"/>
      <c r="BO91" s="21"/>
      <c r="BP91" s="21"/>
      <c r="BQ91" s="21"/>
      <c r="BR91" s="3">
        <f t="shared" si="160"/>
        <v>396.17046135265696</v>
      </c>
      <c r="BS91" s="3">
        <f t="shared" si="151"/>
        <v>2.437752469071063</v>
      </c>
      <c r="BT91" s="21"/>
      <c r="BU91" s="3">
        <f t="shared" si="161"/>
        <v>396.17046135265696</v>
      </c>
      <c r="BV91" s="3">
        <f t="shared" si="152"/>
        <v>10.157301954462762</v>
      </c>
      <c r="BW91" s="21"/>
      <c r="BX91" s="21"/>
      <c r="BY91" s="21"/>
      <c r="BZ91" s="3">
        <f t="shared" si="162"/>
        <v>396.17046135265696</v>
      </c>
      <c r="CA91" s="3">
        <f t="shared" si="153"/>
        <v>23.564940534353614</v>
      </c>
      <c r="CB91" s="21"/>
      <c r="CC91" s="3">
        <f t="shared" si="163"/>
        <v>396.17046135265696</v>
      </c>
      <c r="CD91" s="3">
        <f t="shared" si="154"/>
        <v>8.12584156357021</v>
      </c>
      <c r="CE91" s="21"/>
      <c r="CF91" s="21"/>
      <c r="CG91" s="34">
        <f t="shared" si="155"/>
        <v>0</v>
      </c>
      <c r="CH91" s="34">
        <f t="shared" si="156"/>
        <v>0</v>
      </c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</row>
    <row r="92" spans="1:174" s="15" customFormat="1" ht="14.25">
      <c r="A92" s="20">
        <f t="shared" si="142"/>
        <v>2080</v>
      </c>
      <c r="B92" s="46">
        <v>4519.819728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1"/>
      <c r="N92" s="21"/>
      <c r="O92" s="19"/>
      <c r="P92" s="19"/>
      <c r="Q92" s="19"/>
      <c r="R92" s="19"/>
      <c r="S92" s="19"/>
      <c r="T92" s="19"/>
      <c r="U92" s="1">
        <f t="shared" si="165"/>
        <v>120</v>
      </c>
      <c r="V92" s="1">
        <f t="shared" si="166"/>
        <v>0</v>
      </c>
      <c r="W92" s="1">
        <f t="shared" si="167"/>
        <v>0</v>
      </c>
      <c r="X92" s="1">
        <f t="shared" si="168"/>
        <v>278.47018357487923</v>
      </c>
      <c r="Y92" s="1">
        <f t="shared" si="169"/>
        <v>398.47018357487923</v>
      </c>
      <c r="Z92" s="20"/>
      <c r="AA92" s="1">
        <f t="shared" si="145"/>
        <v>278.47018357487923</v>
      </c>
      <c r="AB92" s="15">
        <f t="shared" si="140"/>
        <v>278.47018357487923</v>
      </c>
      <c r="AC92" s="19"/>
      <c r="AD92" s="2">
        <f t="shared" si="146"/>
        <v>120</v>
      </c>
      <c r="AE92" s="19"/>
      <c r="AF92" s="2">
        <f t="shared" si="147"/>
        <v>0</v>
      </c>
      <c r="AG92" s="19"/>
      <c r="AH92" s="2">
        <f t="shared" si="148"/>
        <v>0</v>
      </c>
      <c r="AI92" s="2">
        <f t="shared" si="143"/>
        <v>120</v>
      </c>
      <c r="AJ92" s="19"/>
      <c r="AK92" s="2">
        <f t="shared" si="141"/>
        <v>398.47018357487923</v>
      </c>
      <c r="AL92" s="2">
        <f t="shared" si="157"/>
        <v>398.47018357487923</v>
      </c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23"/>
      <c r="BD92" s="23"/>
      <c r="BE92" s="21"/>
      <c r="BF92" s="21"/>
      <c r="BG92" s="3">
        <f t="shared" si="144"/>
        <v>398.47018357487923</v>
      </c>
      <c r="BH92" s="34">
        <f t="shared" si="164"/>
        <v>12.820409574205636</v>
      </c>
      <c r="BI92" s="3">
        <f t="shared" si="158"/>
        <v>398.47018357487923</v>
      </c>
      <c r="BJ92" s="3">
        <f t="shared" si="149"/>
        <v>202.72272639212662</v>
      </c>
      <c r="BK92" s="3">
        <f t="shared" si="159"/>
        <v>398.47018357487923</v>
      </c>
      <c r="BL92" s="3">
        <f t="shared" si="150"/>
        <v>21.634441156472015</v>
      </c>
      <c r="BM92" s="21"/>
      <c r="BN92" s="21"/>
      <c r="BO92" s="21"/>
      <c r="BP92" s="21"/>
      <c r="BQ92" s="21"/>
      <c r="BR92" s="3">
        <f t="shared" si="160"/>
        <v>398.47018357487923</v>
      </c>
      <c r="BS92" s="3">
        <f t="shared" si="151"/>
        <v>2.403826795163557</v>
      </c>
      <c r="BT92" s="21"/>
      <c r="BU92" s="3">
        <f t="shared" si="161"/>
        <v>398.47018357487923</v>
      </c>
      <c r="BV92" s="3">
        <f t="shared" si="152"/>
        <v>10.015944979848154</v>
      </c>
      <c r="BW92" s="21"/>
      <c r="BX92" s="21"/>
      <c r="BY92" s="21"/>
      <c r="BZ92" s="3">
        <f t="shared" si="162"/>
        <v>398.47018357487923</v>
      </c>
      <c r="CA92" s="3">
        <f t="shared" si="153"/>
        <v>23.236992353247715</v>
      </c>
      <c r="CB92" s="21"/>
      <c r="CC92" s="3">
        <f t="shared" si="163"/>
        <v>398.47018357487923</v>
      </c>
      <c r="CD92" s="3">
        <f t="shared" si="154"/>
        <v>8.012755983878524</v>
      </c>
      <c r="CE92" s="21"/>
      <c r="CF92" s="21"/>
      <c r="CG92" s="34">
        <f t="shared" si="155"/>
        <v>0</v>
      </c>
      <c r="CH92" s="34">
        <f t="shared" si="156"/>
        <v>0</v>
      </c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</row>
    <row r="93" spans="1:174" s="15" customFormat="1" ht="14.25">
      <c r="A93" s="20">
        <f t="shared" si="142"/>
        <v>2081</v>
      </c>
      <c r="B93" s="46">
        <v>4534.962993000001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1"/>
      <c r="N93" s="21"/>
      <c r="O93" s="19"/>
      <c r="P93" s="19"/>
      <c r="Q93" s="19"/>
      <c r="R93" s="19"/>
      <c r="S93" s="19"/>
      <c r="T93" s="19"/>
      <c r="U93" s="1">
        <f t="shared" si="165"/>
        <v>120</v>
      </c>
      <c r="V93" s="1">
        <f t="shared" si="166"/>
        <v>0</v>
      </c>
      <c r="W93" s="1">
        <f t="shared" si="167"/>
        <v>0</v>
      </c>
      <c r="X93" s="1">
        <f t="shared" si="168"/>
        <v>265.47175362318876</v>
      </c>
      <c r="Y93" s="1">
        <f t="shared" si="169"/>
        <v>385.47175362318876</v>
      </c>
      <c r="Z93" s="20"/>
      <c r="AA93" s="1">
        <f t="shared" si="145"/>
        <v>265.47175362318876</v>
      </c>
      <c r="AB93" s="15">
        <f t="shared" si="140"/>
        <v>265.47175362318876</v>
      </c>
      <c r="AC93" s="19"/>
      <c r="AD93" s="2">
        <f t="shared" si="146"/>
        <v>120</v>
      </c>
      <c r="AE93" s="19"/>
      <c r="AF93" s="2">
        <f t="shared" si="147"/>
        <v>0</v>
      </c>
      <c r="AG93" s="19"/>
      <c r="AH93" s="2">
        <f t="shared" si="148"/>
        <v>0</v>
      </c>
      <c r="AI93" s="2">
        <f t="shared" si="143"/>
        <v>120</v>
      </c>
      <c r="AJ93" s="19"/>
      <c r="AK93" s="2">
        <f t="shared" si="141"/>
        <v>385.47175362318876</v>
      </c>
      <c r="AL93" s="2">
        <f t="shared" si="157"/>
        <v>385.47175362318876</v>
      </c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23"/>
      <c r="BD93" s="23"/>
      <c r="BE93" s="21"/>
      <c r="BF93" s="21"/>
      <c r="BG93" s="3">
        <f t="shared" si="144"/>
        <v>385.47175362318876</v>
      </c>
      <c r="BH93" s="34">
        <f t="shared" si="164"/>
        <v>12.159016778404672</v>
      </c>
      <c r="BI93" s="3">
        <f t="shared" si="158"/>
        <v>385.47175362318876</v>
      </c>
      <c r="BJ93" s="3">
        <f t="shared" si="149"/>
        <v>192.2644528085239</v>
      </c>
      <c r="BK93" s="3">
        <f t="shared" si="159"/>
        <v>385.47175362318876</v>
      </c>
      <c r="BL93" s="3">
        <f t="shared" si="150"/>
        <v>20.518340813557888</v>
      </c>
      <c r="BM93" s="21"/>
      <c r="BN93" s="21"/>
      <c r="BO93" s="21"/>
      <c r="BP93" s="21"/>
      <c r="BQ93" s="21"/>
      <c r="BR93" s="3">
        <f t="shared" si="160"/>
        <v>385.47175362318876</v>
      </c>
      <c r="BS93" s="3">
        <f t="shared" si="151"/>
        <v>2.279815645950876</v>
      </c>
      <c r="BT93" s="21"/>
      <c r="BU93" s="3">
        <f t="shared" si="161"/>
        <v>385.47175362318876</v>
      </c>
      <c r="BV93" s="3">
        <f t="shared" si="152"/>
        <v>9.49923185812865</v>
      </c>
      <c r="BW93" s="21"/>
      <c r="BX93" s="21"/>
      <c r="BY93" s="21"/>
      <c r="BZ93" s="3">
        <f t="shared" si="162"/>
        <v>385.47175362318876</v>
      </c>
      <c r="CA93" s="3">
        <f t="shared" si="153"/>
        <v>22.038217910858467</v>
      </c>
      <c r="CB93" s="21"/>
      <c r="CC93" s="3">
        <f t="shared" si="163"/>
        <v>385.47175362318876</v>
      </c>
      <c r="CD93" s="3">
        <f t="shared" si="154"/>
        <v>7.599385486502921</v>
      </c>
      <c r="CE93" s="21"/>
      <c r="CF93" s="21"/>
      <c r="CG93" s="34">
        <f t="shared" si="155"/>
        <v>0</v>
      </c>
      <c r="CH93" s="34">
        <f t="shared" si="156"/>
        <v>0</v>
      </c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</row>
    <row r="94" spans="1:174" s="15" customFormat="1" ht="14.25">
      <c r="A94" s="20">
        <f t="shared" si="142"/>
        <v>2082</v>
      </c>
      <c r="B94" s="46">
        <v>4534.962993000001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1"/>
      <c r="N94" s="21"/>
      <c r="O94" s="19"/>
      <c r="P94" s="19"/>
      <c r="Q94" s="19"/>
      <c r="R94" s="19"/>
      <c r="S94" s="19"/>
      <c r="T94" s="19"/>
      <c r="U94" s="1">
        <f t="shared" si="165"/>
        <v>120</v>
      </c>
      <c r="V94" s="1">
        <f t="shared" si="166"/>
        <v>0</v>
      </c>
      <c r="W94" s="1">
        <f t="shared" si="167"/>
        <v>0</v>
      </c>
      <c r="X94" s="1">
        <f t="shared" si="168"/>
        <v>254.15312077294698</v>
      </c>
      <c r="Y94" s="1">
        <f t="shared" si="169"/>
        <v>374.153120772947</v>
      </c>
      <c r="Z94" s="20"/>
      <c r="AA94" s="1">
        <f t="shared" si="145"/>
        <v>254.15312077294698</v>
      </c>
      <c r="AB94" s="15">
        <f t="shared" si="140"/>
        <v>254.15312077294698</v>
      </c>
      <c r="AC94" s="19"/>
      <c r="AD94" s="2">
        <f t="shared" si="146"/>
        <v>120</v>
      </c>
      <c r="AE94" s="19"/>
      <c r="AF94" s="2">
        <f t="shared" si="147"/>
        <v>0</v>
      </c>
      <c r="AG94" s="19"/>
      <c r="AH94" s="2">
        <f t="shared" si="148"/>
        <v>0</v>
      </c>
      <c r="AI94" s="2">
        <f t="shared" si="143"/>
        <v>120</v>
      </c>
      <c r="AJ94" s="19"/>
      <c r="AK94" s="2">
        <f t="shared" si="141"/>
        <v>374.153120772947</v>
      </c>
      <c r="AL94" s="2">
        <f t="shared" si="157"/>
        <v>374.153120772947</v>
      </c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23"/>
      <c r="BD94" s="23"/>
      <c r="BE94" s="21"/>
      <c r="BF94" s="21"/>
      <c r="BG94" s="3">
        <f t="shared" si="144"/>
        <v>374.153120772947</v>
      </c>
      <c r="BH94" s="34">
        <f t="shared" si="164"/>
        <v>11.57057917308503</v>
      </c>
      <c r="BI94" s="3">
        <f t="shared" si="158"/>
        <v>374.153120772947</v>
      </c>
      <c r="BJ94" s="3">
        <f t="shared" si="149"/>
        <v>182.95978317440705</v>
      </c>
      <c r="BK94" s="3">
        <f t="shared" si="159"/>
        <v>374.153120772947</v>
      </c>
      <c r="BL94" s="3">
        <f t="shared" si="150"/>
        <v>19.525352354580985</v>
      </c>
      <c r="BM94" s="21"/>
      <c r="BN94" s="21"/>
      <c r="BO94" s="21"/>
      <c r="BP94" s="21"/>
      <c r="BQ94" s="21"/>
      <c r="BR94" s="3">
        <f t="shared" si="160"/>
        <v>374.153120772947</v>
      </c>
      <c r="BS94" s="3">
        <f t="shared" si="151"/>
        <v>2.169483594953443</v>
      </c>
      <c r="BT94" s="21"/>
      <c r="BU94" s="3">
        <f t="shared" si="161"/>
        <v>374.153120772947</v>
      </c>
      <c r="BV94" s="3">
        <f t="shared" si="152"/>
        <v>9.039514978972681</v>
      </c>
      <c r="BW94" s="21"/>
      <c r="BX94" s="21"/>
      <c r="BY94" s="21"/>
      <c r="BZ94" s="3">
        <f t="shared" si="162"/>
        <v>374.153120772947</v>
      </c>
      <c r="CA94" s="3">
        <f t="shared" si="153"/>
        <v>20.971674751216618</v>
      </c>
      <c r="CB94" s="21"/>
      <c r="CC94" s="3">
        <f t="shared" si="163"/>
        <v>374.153120772947</v>
      </c>
      <c r="CD94" s="3">
        <f t="shared" si="154"/>
        <v>7.231611983178143</v>
      </c>
      <c r="CE94" s="21"/>
      <c r="CF94" s="21"/>
      <c r="CG94" s="34">
        <f t="shared" si="155"/>
        <v>0</v>
      </c>
      <c r="CH94" s="34">
        <f t="shared" si="156"/>
        <v>0</v>
      </c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</row>
    <row r="95" spans="1:174" s="15" customFormat="1" ht="14.25">
      <c r="A95" s="20">
        <f t="shared" si="142"/>
        <v>2083</v>
      </c>
      <c r="B95" s="46">
        <v>4534.962993000001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21"/>
      <c r="N95" s="21"/>
      <c r="O95" s="19"/>
      <c r="P95" s="19"/>
      <c r="Q95" s="19"/>
      <c r="R95" s="19"/>
      <c r="S95" s="19"/>
      <c r="T95" s="19"/>
      <c r="U95" s="1">
        <f t="shared" si="165"/>
        <v>120</v>
      </c>
      <c r="V95" s="1">
        <f t="shared" si="166"/>
        <v>0</v>
      </c>
      <c r="W95" s="1">
        <f t="shared" si="167"/>
        <v>0</v>
      </c>
      <c r="X95" s="1">
        <f t="shared" si="168"/>
        <v>273.99072463768107</v>
      </c>
      <c r="Y95" s="1">
        <f t="shared" si="169"/>
        <v>393.99072463768107</v>
      </c>
      <c r="Z95" s="20"/>
      <c r="AA95" s="1">
        <f t="shared" si="145"/>
        <v>273.99072463768107</v>
      </c>
      <c r="AB95" s="15">
        <f t="shared" si="140"/>
        <v>273.99072463768107</v>
      </c>
      <c r="AC95" s="19"/>
      <c r="AD95" s="2">
        <f t="shared" si="146"/>
        <v>120</v>
      </c>
      <c r="AE95" s="19"/>
      <c r="AF95" s="2">
        <f t="shared" si="147"/>
        <v>0</v>
      </c>
      <c r="AG95" s="19"/>
      <c r="AH95" s="2">
        <f t="shared" si="148"/>
        <v>0</v>
      </c>
      <c r="AI95" s="2">
        <f t="shared" si="143"/>
        <v>120</v>
      </c>
      <c r="AJ95" s="19"/>
      <c r="AK95" s="2">
        <f t="shared" si="141"/>
        <v>393.99072463768107</v>
      </c>
      <c r="AL95" s="2">
        <f t="shared" si="157"/>
        <v>393.99072463768107</v>
      </c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23"/>
      <c r="BD95" s="23"/>
      <c r="BE95" s="21"/>
      <c r="BF95" s="21"/>
      <c r="BG95" s="3">
        <f t="shared" si="144"/>
        <v>393.99072463768107</v>
      </c>
      <c r="BH95" s="34">
        <f t="shared" si="164"/>
        <v>11.945148478311069</v>
      </c>
      <c r="BI95" s="3">
        <f t="shared" si="158"/>
        <v>393.99072463768107</v>
      </c>
      <c r="BJ95" s="3">
        <f t="shared" si="149"/>
        <v>188.8826603132938</v>
      </c>
      <c r="BK95" s="3">
        <f t="shared" si="159"/>
        <v>393.99072463768107</v>
      </c>
      <c r="BL95" s="3">
        <f t="shared" si="150"/>
        <v>20.15743805714993</v>
      </c>
      <c r="BM95" s="21"/>
      <c r="BN95" s="21"/>
      <c r="BO95" s="21"/>
      <c r="BP95" s="21"/>
      <c r="BQ95" s="21"/>
      <c r="BR95" s="3">
        <f t="shared" si="160"/>
        <v>393.99072463768107</v>
      </c>
      <c r="BS95" s="3">
        <f t="shared" si="151"/>
        <v>2.2397153396833254</v>
      </c>
      <c r="BT95" s="21"/>
      <c r="BU95" s="3">
        <f t="shared" si="161"/>
        <v>393.99072463768107</v>
      </c>
      <c r="BV95" s="3">
        <f t="shared" si="152"/>
        <v>9.332147248680522</v>
      </c>
      <c r="BW95" s="21"/>
      <c r="BX95" s="21"/>
      <c r="BY95" s="21"/>
      <c r="BZ95" s="3">
        <f t="shared" si="162"/>
        <v>393.99072463768107</v>
      </c>
      <c r="CA95" s="3">
        <f t="shared" si="153"/>
        <v>21.650581616938812</v>
      </c>
      <c r="CB95" s="21"/>
      <c r="CC95" s="3">
        <f t="shared" si="163"/>
        <v>393.99072463768107</v>
      </c>
      <c r="CD95" s="3">
        <f t="shared" si="154"/>
        <v>7.465717798944419</v>
      </c>
      <c r="CE95" s="21"/>
      <c r="CF95" s="21"/>
      <c r="CG95" s="34">
        <f t="shared" si="155"/>
        <v>0</v>
      </c>
      <c r="CH95" s="34">
        <f t="shared" si="156"/>
        <v>0</v>
      </c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</row>
    <row r="96" spans="1:174" s="15" customFormat="1" ht="14.25">
      <c r="A96" s="20">
        <f t="shared" si="142"/>
        <v>2084</v>
      </c>
      <c r="B96" s="46">
        <v>4538.706075000001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21"/>
      <c r="N96" s="21"/>
      <c r="O96" s="19"/>
      <c r="P96" s="19"/>
      <c r="Q96" s="19"/>
      <c r="R96" s="19"/>
      <c r="S96" s="19"/>
      <c r="T96" s="19"/>
      <c r="U96" s="1">
        <f t="shared" si="165"/>
        <v>120</v>
      </c>
      <c r="V96" s="1">
        <f t="shared" si="166"/>
        <v>0</v>
      </c>
      <c r="W96" s="1">
        <f t="shared" si="167"/>
        <v>0</v>
      </c>
      <c r="X96" s="1">
        <f t="shared" si="168"/>
        <v>264.991811594203</v>
      </c>
      <c r="Y96" s="1">
        <f t="shared" si="169"/>
        <v>384.991811594203</v>
      </c>
      <c r="Z96" s="20"/>
      <c r="AA96" s="1">
        <f t="shared" si="145"/>
        <v>264.991811594203</v>
      </c>
      <c r="AB96" s="15">
        <f t="shared" si="140"/>
        <v>264.991811594203</v>
      </c>
      <c r="AC96" s="19"/>
      <c r="AD96" s="2">
        <f t="shared" si="146"/>
        <v>120</v>
      </c>
      <c r="AE96" s="19"/>
      <c r="AF96" s="2">
        <f t="shared" si="147"/>
        <v>0</v>
      </c>
      <c r="AG96" s="19"/>
      <c r="AH96" s="2">
        <f t="shared" si="148"/>
        <v>0</v>
      </c>
      <c r="AI96" s="2">
        <f t="shared" si="143"/>
        <v>120</v>
      </c>
      <c r="AJ96" s="19"/>
      <c r="AK96" s="2">
        <f t="shared" si="141"/>
        <v>384.991811594203</v>
      </c>
      <c r="AL96" s="2">
        <f t="shared" si="157"/>
        <v>384.991811594203</v>
      </c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23"/>
      <c r="BD96" s="23"/>
      <c r="BE96" s="21"/>
      <c r="BF96" s="21"/>
      <c r="BG96" s="3">
        <f t="shared" si="144"/>
        <v>384.991811594203</v>
      </c>
      <c r="BH96" s="34">
        <f t="shared" si="164"/>
        <v>11.443447340970902</v>
      </c>
      <c r="BI96" s="3">
        <f t="shared" si="158"/>
        <v>384.991811594203</v>
      </c>
      <c r="BJ96" s="3">
        <f t="shared" si="149"/>
        <v>180.9495110791024</v>
      </c>
      <c r="BK96" s="3">
        <f t="shared" si="159"/>
        <v>384.991811594203</v>
      </c>
      <c r="BL96" s="3">
        <f t="shared" si="150"/>
        <v>19.3108173878884</v>
      </c>
      <c r="BM96" s="21"/>
      <c r="BN96" s="21"/>
      <c r="BO96" s="21"/>
      <c r="BP96" s="21"/>
      <c r="BQ96" s="21"/>
      <c r="BR96" s="3">
        <f t="shared" si="160"/>
        <v>384.991811594203</v>
      </c>
      <c r="BS96" s="3">
        <f t="shared" si="151"/>
        <v>2.145646376432044</v>
      </c>
      <c r="BT96" s="21"/>
      <c r="BU96" s="3">
        <f t="shared" si="161"/>
        <v>384.991811594203</v>
      </c>
      <c r="BV96" s="3">
        <f t="shared" si="152"/>
        <v>8.940193235133519</v>
      </c>
      <c r="BW96" s="21"/>
      <c r="BX96" s="21"/>
      <c r="BY96" s="21"/>
      <c r="BZ96" s="3">
        <f t="shared" si="162"/>
        <v>384.991811594203</v>
      </c>
      <c r="CA96" s="3">
        <f t="shared" si="153"/>
        <v>20.74124830550976</v>
      </c>
      <c r="CB96" s="21"/>
      <c r="CC96" s="3">
        <f t="shared" si="163"/>
        <v>384.991811594203</v>
      </c>
      <c r="CD96" s="3">
        <f t="shared" si="154"/>
        <v>7.152154588106813</v>
      </c>
      <c r="CE96" s="21"/>
      <c r="CF96" s="21"/>
      <c r="CG96" s="34">
        <f t="shared" si="155"/>
        <v>0</v>
      </c>
      <c r="CH96" s="34">
        <f t="shared" si="156"/>
        <v>0</v>
      </c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</row>
    <row r="97" spans="1:174" s="15" customFormat="1" ht="14.25">
      <c r="A97" s="20">
        <f t="shared" si="142"/>
        <v>2085</v>
      </c>
      <c r="B97" s="46">
        <v>4538.706075000001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21"/>
      <c r="N97" s="21"/>
      <c r="O97" s="19"/>
      <c r="P97" s="19"/>
      <c r="Q97" s="19"/>
      <c r="R97" s="19"/>
      <c r="S97" s="19"/>
      <c r="T97" s="19"/>
      <c r="U97" s="1">
        <f t="shared" si="165"/>
        <v>120</v>
      </c>
      <c r="V97" s="1">
        <f t="shared" si="166"/>
        <v>0</v>
      </c>
      <c r="W97" s="1">
        <f t="shared" si="167"/>
        <v>0</v>
      </c>
      <c r="X97" s="1">
        <f t="shared" si="168"/>
        <v>264.991811594203</v>
      </c>
      <c r="Y97" s="1">
        <f t="shared" si="169"/>
        <v>384.991811594203</v>
      </c>
      <c r="Z97" s="20"/>
      <c r="AA97" s="1">
        <f t="shared" si="145"/>
        <v>264.991811594203</v>
      </c>
      <c r="AB97" s="15">
        <f t="shared" si="140"/>
        <v>264.991811594203</v>
      </c>
      <c r="AC97" s="19"/>
      <c r="AD97" s="2">
        <f t="shared" si="146"/>
        <v>120</v>
      </c>
      <c r="AE97" s="19"/>
      <c r="AF97" s="2">
        <f t="shared" si="147"/>
        <v>0</v>
      </c>
      <c r="AG97" s="19"/>
      <c r="AH97" s="2">
        <f t="shared" si="148"/>
        <v>0</v>
      </c>
      <c r="AI97" s="2">
        <f t="shared" si="143"/>
        <v>120</v>
      </c>
      <c r="AJ97" s="19"/>
      <c r="AK97" s="2">
        <f t="shared" si="141"/>
        <v>384.991811594203</v>
      </c>
      <c r="AL97" s="2">
        <f t="shared" si="157"/>
        <v>384.991811594203</v>
      </c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23"/>
      <c r="BD97" s="23"/>
      <c r="BE97" s="21"/>
      <c r="BF97" s="21"/>
      <c r="BG97" s="3">
        <f t="shared" si="144"/>
        <v>384.991811594203</v>
      </c>
      <c r="BH97" s="34">
        <f t="shared" si="164"/>
        <v>11.219066020559707</v>
      </c>
      <c r="BI97" s="3">
        <f t="shared" si="158"/>
        <v>384.991811594203</v>
      </c>
      <c r="BJ97" s="3">
        <f t="shared" si="149"/>
        <v>177.40148145010036</v>
      </c>
      <c r="BK97" s="3">
        <f t="shared" si="159"/>
        <v>384.991811594203</v>
      </c>
      <c r="BL97" s="3">
        <f t="shared" si="150"/>
        <v>18.93217390969451</v>
      </c>
      <c r="BM97" s="21"/>
      <c r="BN97" s="21"/>
      <c r="BO97" s="21"/>
      <c r="BP97" s="21"/>
      <c r="BQ97" s="21"/>
      <c r="BR97" s="3">
        <f t="shared" si="160"/>
        <v>384.991811594203</v>
      </c>
      <c r="BS97" s="3">
        <f t="shared" si="151"/>
        <v>2.103574878854945</v>
      </c>
      <c r="BT97" s="21"/>
      <c r="BU97" s="3">
        <f t="shared" si="161"/>
        <v>384.991811594203</v>
      </c>
      <c r="BV97" s="3">
        <f t="shared" si="152"/>
        <v>8.764895328562272</v>
      </c>
      <c r="BW97" s="21"/>
      <c r="BX97" s="21"/>
      <c r="BY97" s="21"/>
      <c r="BZ97" s="3">
        <f t="shared" si="162"/>
        <v>384.991811594203</v>
      </c>
      <c r="CA97" s="3">
        <f t="shared" si="153"/>
        <v>20.33455716226447</v>
      </c>
      <c r="CB97" s="21"/>
      <c r="CC97" s="3">
        <f t="shared" si="163"/>
        <v>384.991811594203</v>
      </c>
      <c r="CD97" s="3">
        <f t="shared" si="154"/>
        <v>7.011916262849817</v>
      </c>
      <c r="CE97" s="21"/>
      <c r="CF97" s="21"/>
      <c r="CG97" s="34">
        <f t="shared" si="155"/>
        <v>0</v>
      </c>
      <c r="CH97" s="34">
        <f t="shared" si="156"/>
        <v>0</v>
      </c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</row>
    <row r="98" spans="1:174" s="15" customFormat="1" ht="14.25">
      <c r="A98" s="20">
        <f t="shared" si="142"/>
        <v>2086</v>
      </c>
      <c r="B98" s="46">
        <v>4538.706075000001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21"/>
      <c r="N98" s="21"/>
      <c r="O98" s="19"/>
      <c r="P98" s="19"/>
      <c r="Q98" s="19"/>
      <c r="R98" s="19"/>
      <c r="S98" s="19"/>
      <c r="T98" s="19"/>
      <c r="U98" s="1">
        <f t="shared" si="165"/>
        <v>120</v>
      </c>
      <c r="V98" s="1">
        <f t="shared" si="166"/>
        <v>0</v>
      </c>
      <c r="W98" s="1">
        <f t="shared" si="167"/>
        <v>0</v>
      </c>
      <c r="X98" s="1">
        <f t="shared" si="168"/>
        <v>253.81316183574904</v>
      </c>
      <c r="Y98" s="1">
        <f t="shared" si="169"/>
        <v>373.81316183574904</v>
      </c>
      <c r="Z98" s="20"/>
      <c r="AA98" s="1">
        <f t="shared" si="145"/>
        <v>253.81316183574904</v>
      </c>
      <c r="AB98" s="15">
        <f t="shared" si="140"/>
        <v>253.81316183574904</v>
      </c>
      <c r="AC98" s="19"/>
      <c r="AD98" s="2">
        <f t="shared" si="146"/>
        <v>120</v>
      </c>
      <c r="AE98" s="19"/>
      <c r="AF98" s="2">
        <f t="shared" si="147"/>
        <v>0</v>
      </c>
      <c r="AG98" s="19"/>
      <c r="AH98" s="2">
        <f t="shared" si="148"/>
        <v>0</v>
      </c>
      <c r="AI98" s="2">
        <f t="shared" si="143"/>
        <v>120</v>
      </c>
      <c r="AJ98" s="19"/>
      <c r="AK98" s="2">
        <f t="shared" si="141"/>
        <v>373.81316183574904</v>
      </c>
      <c r="AL98" s="2">
        <f t="shared" si="157"/>
        <v>373.81316183574904</v>
      </c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23"/>
      <c r="BD98" s="23"/>
      <c r="BE98" s="21"/>
      <c r="BF98" s="21"/>
      <c r="BG98" s="3">
        <f t="shared" si="144"/>
        <v>373.81316183574904</v>
      </c>
      <c r="BH98" s="34">
        <f t="shared" si="164"/>
        <v>10.679714135012059</v>
      </c>
      <c r="BI98" s="3">
        <f t="shared" si="158"/>
        <v>373.81316183574904</v>
      </c>
      <c r="BJ98" s="3">
        <f t="shared" si="149"/>
        <v>168.8729797598782</v>
      </c>
      <c r="BK98" s="3">
        <f t="shared" si="159"/>
        <v>373.81316183574904</v>
      </c>
      <c r="BL98" s="3">
        <f t="shared" si="150"/>
        <v>18.02201760283285</v>
      </c>
      <c r="BM98" s="21"/>
      <c r="BN98" s="21"/>
      <c r="BO98" s="21"/>
      <c r="BP98" s="21"/>
      <c r="BQ98" s="21"/>
      <c r="BR98" s="3">
        <f t="shared" si="160"/>
        <v>373.81316183574904</v>
      </c>
      <c r="BS98" s="3">
        <f t="shared" si="151"/>
        <v>2.0024464003147613</v>
      </c>
      <c r="BT98" s="21"/>
      <c r="BU98" s="3">
        <f t="shared" si="161"/>
        <v>373.81316183574904</v>
      </c>
      <c r="BV98" s="3">
        <f t="shared" si="152"/>
        <v>8.343526667978173</v>
      </c>
      <c r="BW98" s="21"/>
      <c r="BX98" s="21"/>
      <c r="BY98" s="21"/>
      <c r="BZ98" s="3">
        <f t="shared" si="162"/>
        <v>373.81316183574904</v>
      </c>
      <c r="CA98" s="3">
        <f t="shared" si="153"/>
        <v>19.35698186970936</v>
      </c>
      <c r="CB98" s="21"/>
      <c r="CC98" s="3">
        <f t="shared" si="163"/>
        <v>373.81316183574904</v>
      </c>
      <c r="CD98" s="3">
        <f t="shared" si="154"/>
        <v>6.674821334382537</v>
      </c>
      <c r="CE98" s="21"/>
      <c r="CF98" s="21"/>
      <c r="CG98" s="34">
        <f t="shared" si="155"/>
        <v>0</v>
      </c>
      <c r="CH98" s="34">
        <f t="shared" si="156"/>
        <v>0</v>
      </c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</row>
    <row r="99" spans="1:174" s="15" customFormat="1" ht="14.25">
      <c r="A99" s="20">
        <f t="shared" si="142"/>
        <v>2087</v>
      </c>
      <c r="B99" s="46">
        <v>4477.2345000000005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21"/>
      <c r="N99" s="21"/>
      <c r="O99" s="19"/>
      <c r="P99" s="19"/>
      <c r="Q99" s="19"/>
      <c r="R99" s="19"/>
      <c r="S99" s="19"/>
      <c r="T99" s="19"/>
      <c r="U99" s="1">
        <f t="shared" si="165"/>
        <v>120</v>
      </c>
      <c r="V99" s="1">
        <f t="shared" si="166"/>
        <v>0</v>
      </c>
      <c r="W99" s="1">
        <f t="shared" si="167"/>
        <v>0</v>
      </c>
      <c r="X99" s="1">
        <f t="shared" si="168"/>
        <v>280.48993961352653</v>
      </c>
      <c r="Y99" s="1">
        <f t="shared" si="169"/>
        <v>400.48993961352653</v>
      </c>
      <c r="Z99" s="20"/>
      <c r="AA99" s="1">
        <f t="shared" si="145"/>
        <v>280.48993961352653</v>
      </c>
      <c r="AB99" s="15">
        <f t="shared" si="140"/>
        <v>280.48993961352653</v>
      </c>
      <c r="AC99" s="19"/>
      <c r="AD99" s="2">
        <f t="shared" si="146"/>
        <v>120</v>
      </c>
      <c r="AE99" s="19"/>
      <c r="AF99" s="2">
        <f t="shared" si="147"/>
        <v>0</v>
      </c>
      <c r="AG99" s="19"/>
      <c r="AH99" s="2">
        <f t="shared" si="148"/>
        <v>0</v>
      </c>
      <c r="AI99" s="2">
        <f t="shared" si="143"/>
        <v>120</v>
      </c>
      <c r="AJ99" s="19"/>
      <c r="AK99" s="2">
        <f t="shared" si="141"/>
        <v>400.48993961352653</v>
      </c>
      <c r="AL99" s="2">
        <f t="shared" si="157"/>
        <v>400.48993961352653</v>
      </c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23"/>
      <c r="BD99" s="23"/>
      <c r="BE99" s="21"/>
      <c r="BF99" s="21"/>
      <c r="BG99" s="3">
        <f t="shared" si="144"/>
        <v>400.48993961352653</v>
      </c>
      <c r="BH99" s="34">
        <f t="shared" si="164"/>
        <v>11.21751034193471</v>
      </c>
      <c r="BI99" s="3">
        <f t="shared" si="158"/>
        <v>400.48993961352653</v>
      </c>
      <c r="BJ99" s="3">
        <f t="shared" si="149"/>
        <v>177.37688228184263</v>
      </c>
      <c r="BK99" s="3">
        <f t="shared" si="159"/>
        <v>400.48993961352653</v>
      </c>
      <c r="BL99" s="3">
        <f t="shared" si="150"/>
        <v>18.929548702014824</v>
      </c>
      <c r="BM99" s="21"/>
      <c r="BN99" s="21"/>
      <c r="BO99" s="21"/>
      <c r="BP99" s="21"/>
      <c r="BQ99" s="21"/>
      <c r="BR99" s="3">
        <f t="shared" si="160"/>
        <v>400.48993961352653</v>
      </c>
      <c r="BS99" s="3">
        <f t="shared" si="151"/>
        <v>2.103283189112758</v>
      </c>
      <c r="BT99" s="21"/>
      <c r="BU99" s="3">
        <f t="shared" si="161"/>
        <v>400.48993961352653</v>
      </c>
      <c r="BV99" s="3">
        <f t="shared" si="152"/>
        <v>8.763679954636494</v>
      </c>
      <c r="BW99" s="21"/>
      <c r="BX99" s="21"/>
      <c r="BY99" s="21"/>
      <c r="BZ99" s="3">
        <f t="shared" si="162"/>
        <v>400.48993961352653</v>
      </c>
      <c r="CA99" s="3">
        <f t="shared" si="153"/>
        <v>20.331737494756663</v>
      </c>
      <c r="CB99" s="21"/>
      <c r="CC99" s="3">
        <f t="shared" si="163"/>
        <v>400.48993961352653</v>
      </c>
      <c r="CD99" s="3">
        <f t="shared" si="154"/>
        <v>7.010943963709194</v>
      </c>
      <c r="CE99" s="21"/>
      <c r="CF99" s="21"/>
      <c r="CG99" s="34">
        <f t="shared" si="155"/>
        <v>0</v>
      </c>
      <c r="CH99" s="34">
        <f t="shared" si="156"/>
        <v>0</v>
      </c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</row>
    <row r="100" spans="1:174" s="15" customFormat="1" ht="14.25">
      <c r="A100" s="20">
        <f t="shared" si="142"/>
        <v>2088</v>
      </c>
      <c r="B100" s="46">
        <v>4477.2345000000005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1"/>
      <c r="N100" s="21"/>
      <c r="O100" s="19"/>
      <c r="P100" s="19"/>
      <c r="Q100" s="19"/>
      <c r="R100" s="19"/>
      <c r="S100" s="19"/>
      <c r="T100" s="19"/>
      <c r="U100" s="1">
        <f t="shared" si="165"/>
        <v>120</v>
      </c>
      <c r="V100" s="1">
        <f t="shared" si="166"/>
        <v>0</v>
      </c>
      <c r="W100" s="1">
        <f t="shared" si="167"/>
        <v>0</v>
      </c>
      <c r="X100" s="1">
        <f t="shared" si="168"/>
        <v>280.48993961352653</v>
      </c>
      <c r="Y100" s="1">
        <f t="shared" si="169"/>
        <v>400.48993961352653</v>
      </c>
      <c r="Z100" s="20"/>
      <c r="AA100" s="1">
        <f t="shared" si="145"/>
        <v>280.48993961352653</v>
      </c>
      <c r="AB100" s="15">
        <f t="shared" si="140"/>
        <v>280.48993961352653</v>
      </c>
      <c r="AC100" s="19"/>
      <c r="AD100" s="2">
        <f t="shared" si="146"/>
        <v>120</v>
      </c>
      <c r="AE100" s="19"/>
      <c r="AF100" s="2">
        <f t="shared" si="147"/>
        <v>0</v>
      </c>
      <c r="AG100" s="19"/>
      <c r="AH100" s="2">
        <f t="shared" si="148"/>
        <v>0</v>
      </c>
      <c r="AI100" s="2">
        <f t="shared" si="143"/>
        <v>120</v>
      </c>
      <c r="AJ100" s="19"/>
      <c r="AK100" s="2">
        <f t="shared" si="141"/>
        <v>400.48993961352653</v>
      </c>
      <c r="AL100" s="2">
        <f t="shared" si="157"/>
        <v>400.48993961352653</v>
      </c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23"/>
      <c r="BD100" s="23"/>
      <c r="BE100" s="21"/>
      <c r="BF100" s="21"/>
      <c r="BG100" s="3">
        <f t="shared" si="144"/>
        <v>400.48993961352653</v>
      </c>
      <c r="BH100" s="34">
        <f t="shared" si="164"/>
        <v>10.99755915875952</v>
      </c>
      <c r="BI100" s="3">
        <f t="shared" si="158"/>
        <v>400.48993961352653</v>
      </c>
      <c r="BJ100" s="3">
        <f t="shared" si="149"/>
        <v>173.8989041978849</v>
      </c>
      <c r="BK100" s="3">
        <f t="shared" si="159"/>
        <v>400.48993961352653</v>
      </c>
      <c r="BL100" s="3">
        <f t="shared" si="150"/>
        <v>18.55838108040669</v>
      </c>
      <c r="BM100" s="21"/>
      <c r="BN100" s="21"/>
      <c r="BO100" s="21"/>
      <c r="BP100" s="21"/>
      <c r="BQ100" s="21"/>
      <c r="BR100" s="3">
        <f t="shared" si="160"/>
        <v>400.48993961352653</v>
      </c>
      <c r="BS100" s="3">
        <f t="shared" si="151"/>
        <v>2.06204234226741</v>
      </c>
      <c r="BT100" s="21"/>
      <c r="BU100" s="3">
        <f t="shared" si="161"/>
        <v>400.48993961352653</v>
      </c>
      <c r="BV100" s="3">
        <f t="shared" si="152"/>
        <v>8.591843092780875</v>
      </c>
      <c r="BW100" s="21"/>
      <c r="BX100" s="21"/>
      <c r="BY100" s="21"/>
      <c r="BZ100" s="3">
        <f t="shared" si="162"/>
        <v>400.48993961352653</v>
      </c>
      <c r="CA100" s="3">
        <f t="shared" si="153"/>
        <v>19.93307597525163</v>
      </c>
      <c r="CB100" s="21"/>
      <c r="CC100" s="3">
        <f t="shared" si="163"/>
        <v>400.48993961352653</v>
      </c>
      <c r="CD100" s="3">
        <f t="shared" si="154"/>
        <v>6.873474474224699</v>
      </c>
      <c r="CE100" s="21"/>
      <c r="CF100" s="21"/>
      <c r="CG100" s="34">
        <f t="shared" si="155"/>
        <v>0</v>
      </c>
      <c r="CH100" s="34">
        <f t="shared" si="156"/>
        <v>0</v>
      </c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</row>
    <row r="101" spans="1:174" s="15" customFormat="1" ht="14.25">
      <c r="A101" s="20">
        <f t="shared" si="142"/>
        <v>2089</v>
      </c>
      <c r="B101" s="46">
        <v>4477.2345000000005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21"/>
      <c r="N101" s="21"/>
      <c r="O101" s="19"/>
      <c r="P101" s="19"/>
      <c r="Q101" s="19"/>
      <c r="R101" s="19"/>
      <c r="S101" s="19"/>
      <c r="T101" s="19"/>
      <c r="U101" s="1">
        <f t="shared" si="165"/>
        <v>60.491678267464216</v>
      </c>
      <c r="V101" s="1">
        <f t="shared" si="166"/>
        <v>0</v>
      </c>
      <c r="W101" s="1">
        <f t="shared" si="167"/>
        <v>0</v>
      </c>
      <c r="X101" s="1">
        <f t="shared" si="168"/>
        <v>534.4502226987194</v>
      </c>
      <c r="Y101" s="1">
        <f t="shared" si="169"/>
        <v>594.9419009661835</v>
      </c>
      <c r="Z101" s="20"/>
      <c r="AA101" s="1">
        <f t="shared" si="145"/>
        <v>534.4502226987194</v>
      </c>
      <c r="AB101" s="15">
        <f t="shared" si="140"/>
        <v>534.4502226987194</v>
      </c>
      <c r="AC101" s="19"/>
      <c r="AD101" s="2">
        <f t="shared" si="146"/>
        <v>60.491678267464216</v>
      </c>
      <c r="AE101" s="19"/>
      <c r="AF101" s="2">
        <f t="shared" si="147"/>
        <v>0</v>
      </c>
      <c r="AG101" s="19"/>
      <c r="AH101" s="2">
        <f t="shared" si="148"/>
        <v>0</v>
      </c>
      <c r="AI101" s="2">
        <f t="shared" si="143"/>
        <v>60.491678267464216</v>
      </c>
      <c r="AJ101" s="19"/>
      <c r="AK101" s="2">
        <f t="shared" si="141"/>
        <v>594.9419009661835</v>
      </c>
      <c r="AL101" s="2">
        <f t="shared" si="157"/>
        <v>594.9419009661835</v>
      </c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23"/>
      <c r="BD101" s="23"/>
      <c r="BE101" s="21"/>
      <c r="BF101" s="21"/>
      <c r="BG101" s="3">
        <f t="shared" si="144"/>
        <v>594.9419009661835</v>
      </c>
      <c r="BH101" s="34">
        <f t="shared" si="164"/>
        <v>16.016922746229106</v>
      </c>
      <c r="BI101" s="3">
        <f t="shared" si="158"/>
        <v>594.9419009661835</v>
      </c>
      <c r="BJ101" s="3">
        <f t="shared" si="149"/>
        <v>253.26759092474774</v>
      </c>
      <c r="BK101" s="3">
        <f t="shared" si="159"/>
        <v>594.9419009661835</v>
      </c>
      <c r="BL101" s="3">
        <f t="shared" si="150"/>
        <v>27.028557134261618</v>
      </c>
      <c r="BM101" s="21"/>
      <c r="BN101" s="21"/>
      <c r="BO101" s="21"/>
      <c r="BP101" s="21"/>
      <c r="BQ101" s="21"/>
      <c r="BR101" s="3">
        <f t="shared" si="160"/>
        <v>594.9419009661835</v>
      </c>
      <c r="BS101" s="3">
        <f t="shared" si="151"/>
        <v>3.0031730149179574</v>
      </c>
      <c r="BT101" s="21"/>
      <c r="BU101" s="3">
        <f t="shared" si="161"/>
        <v>594.9419009661835</v>
      </c>
      <c r="BV101" s="3">
        <f t="shared" si="152"/>
        <v>12.513220895491491</v>
      </c>
      <c r="BW101" s="21"/>
      <c r="BX101" s="21"/>
      <c r="BY101" s="21"/>
      <c r="BZ101" s="3">
        <f t="shared" si="162"/>
        <v>594.9419009661835</v>
      </c>
      <c r="CA101" s="3">
        <f t="shared" si="153"/>
        <v>29.030672477540254</v>
      </c>
      <c r="CB101" s="21"/>
      <c r="CC101" s="3">
        <f t="shared" si="163"/>
        <v>594.9419009661835</v>
      </c>
      <c r="CD101" s="3">
        <f t="shared" si="154"/>
        <v>10.010576716393192</v>
      </c>
      <c r="CE101" s="21"/>
      <c r="CF101" s="21"/>
      <c r="CG101" s="34">
        <f t="shared" si="155"/>
        <v>0</v>
      </c>
      <c r="CH101" s="34">
        <f t="shared" si="156"/>
        <v>0</v>
      </c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</row>
    <row r="102" spans="1:174" s="15" customFormat="1" ht="14.25">
      <c r="A102" s="20">
        <f t="shared" si="142"/>
        <v>2090</v>
      </c>
      <c r="B102" s="46">
        <v>4483.809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1"/>
      <c r="N102" s="21"/>
      <c r="O102" s="19"/>
      <c r="P102" s="19"/>
      <c r="Q102" s="19"/>
      <c r="R102" s="19"/>
      <c r="S102" s="19"/>
      <c r="T102" s="19"/>
      <c r="U102" s="1">
        <f t="shared" si="165"/>
        <v>55.04464719660007</v>
      </c>
      <c r="V102" s="1">
        <f t="shared" si="166"/>
        <v>0</v>
      </c>
      <c r="W102" s="1">
        <f t="shared" si="167"/>
        <v>0</v>
      </c>
      <c r="X102" s="1">
        <f t="shared" si="168"/>
        <v>483.29805087103284</v>
      </c>
      <c r="Y102" s="1">
        <f t="shared" si="169"/>
        <v>538.3426980676329</v>
      </c>
      <c r="Z102" s="20"/>
      <c r="AA102" s="1">
        <f t="shared" si="145"/>
        <v>483.29805087103284</v>
      </c>
      <c r="AB102" s="15">
        <f t="shared" si="140"/>
        <v>483.29805087103284</v>
      </c>
      <c r="AC102" s="19"/>
      <c r="AD102" s="2">
        <f t="shared" si="146"/>
        <v>55.04464719660007</v>
      </c>
      <c r="AE102" s="19"/>
      <c r="AF102" s="2">
        <f t="shared" si="147"/>
        <v>0</v>
      </c>
      <c r="AG102" s="19"/>
      <c r="AH102" s="2">
        <f t="shared" si="148"/>
        <v>0</v>
      </c>
      <c r="AI102" s="2">
        <f t="shared" si="143"/>
        <v>55.04464719660007</v>
      </c>
      <c r="AJ102" s="19"/>
      <c r="AK102" s="2">
        <f t="shared" si="141"/>
        <v>538.3426980676329</v>
      </c>
      <c r="AL102" s="2">
        <f t="shared" si="157"/>
        <v>538.3426980676329</v>
      </c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23"/>
      <c r="BD102" s="23"/>
      <c r="BE102" s="21"/>
      <c r="BF102" s="21"/>
      <c r="BG102" s="3">
        <f t="shared" si="144"/>
        <v>538.3426980676329</v>
      </c>
      <c r="BH102" s="34">
        <f t="shared" si="164"/>
        <v>14.20898903452121</v>
      </c>
      <c r="BI102" s="3">
        <f t="shared" si="158"/>
        <v>538.3426980676329</v>
      </c>
      <c r="BJ102" s="3">
        <f t="shared" si="149"/>
        <v>224.67963910836662</v>
      </c>
      <c r="BK102" s="3">
        <f t="shared" si="159"/>
        <v>538.3426980676329</v>
      </c>
      <c r="BL102" s="3">
        <f t="shared" si="150"/>
        <v>23.977668995754538</v>
      </c>
      <c r="BM102" s="21"/>
      <c r="BN102" s="21"/>
      <c r="BO102" s="21"/>
      <c r="BP102" s="21"/>
      <c r="BQ102" s="21"/>
      <c r="BR102" s="3">
        <f t="shared" si="160"/>
        <v>538.3426980676329</v>
      </c>
      <c r="BS102" s="3">
        <f t="shared" si="151"/>
        <v>2.664185443972727</v>
      </c>
      <c r="BT102" s="21"/>
      <c r="BU102" s="3">
        <f t="shared" si="161"/>
        <v>538.3426980676329</v>
      </c>
      <c r="BV102" s="3">
        <f t="shared" si="152"/>
        <v>11.100772683219695</v>
      </c>
      <c r="BW102" s="21"/>
      <c r="BX102" s="21"/>
      <c r="BY102" s="21"/>
      <c r="BZ102" s="3">
        <f t="shared" si="162"/>
        <v>538.3426980676329</v>
      </c>
      <c r="CA102" s="3">
        <f t="shared" si="153"/>
        <v>25.753792625069696</v>
      </c>
      <c r="CB102" s="21"/>
      <c r="CC102" s="3">
        <f t="shared" si="163"/>
        <v>538.3426980676329</v>
      </c>
      <c r="CD102" s="3">
        <f t="shared" si="154"/>
        <v>8.880618146575754</v>
      </c>
      <c r="CE102" s="21"/>
      <c r="CF102" s="21"/>
      <c r="CG102" s="34">
        <f t="shared" si="155"/>
        <v>0</v>
      </c>
      <c r="CH102" s="34">
        <f t="shared" si="156"/>
        <v>0</v>
      </c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</row>
    <row r="103" spans="1:174" s="15" customFormat="1" ht="14.25">
      <c r="A103" s="20">
        <f t="shared" si="142"/>
        <v>2091</v>
      </c>
      <c r="B103" s="46">
        <v>4483.809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1"/>
      <c r="N103" s="21"/>
      <c r="O103" s="19"/>
      <c r="P103" s="19"/>
      <c r="Q103" s="19"/>
      <c r="R103" s="19"/>
      <c r="S103" s="19"/>
      <c r="T103" s="19"/>
      <c r="U103" s="1">
        <f t="shared" si="165"/>
        <v>41.75236300431219</v>
      </c>
      <c r="V103" s="1">
        <f t="shared" si="166"/>
        <v>0</v>
      </c>
      <c r="W103" s="1">
        <f t="shared" si="167"/>
        <v>0</v>
      </c>
      <c r="X103" s="1">
        <f t="shared" si="168"/>
        <v>366.5903350633207</v>
      </c>
      <c r="Y103" s="1">
        <f t="shared" si="169"/>
        <v>408.3426980676329</v>
      </c>
      <c r="Z103" s="20"/>
      <c r="AA103" s="1">
        <f t="shared" si="145"/>
        <v>366.5903350633207</v>
      </c>
      <c r="AB103" s="15">
        <f t="shared" si="140"/>
        <v>366.5903350633207</v>
      </c>
      <c r="AC103" s="19"/>
      <c r="AD103" s="2">
        <f t="shared" si="146"/>
        <v>41.75236300431219</v>
      </c>
      <c r="AE103" s="19"/>
      <c r="AF103" s="2">
        <f t="shared" si="147"/>
        <v>0</v>
      </c>
      <c r="AG103" s="19"/>
      <c r="AH103" s="2">
        <f t="shared" si="148"/>
        <v>0</v>
      </c>
      <c r="AI103" s="2">
        <f t="shared" si="143"/>
        <v>41.75236300431219</v>
      </c>
      <c r="AJ103" s="19"/>
      <c r="AK103" s="2">
        <f t="shared" si="141"/>
        <v>408.3426980676329</v>
      </c>
      <c r="AL103" s="2">
        <f t="shared" si="157"/>
        <v>408.3426980676329</v>
      </c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23"/>
      <c r="BD103" s="23"/>
      <c r="BE103" s="21"/>
      <c r="BF103" s="21"/>
      <c r="BG103" s="3">
        <f t="shared" si="144"/>
        <v>408.3426980676329</v>
      </c>
      <c r="BH103" s="34">
        <f t="shared" si="164"/>
        <v>10.56644689157315</v>
      </c>
      <c r="BI103" s="3">
        <f t="shared" si="158"/>
        <v>408.3426980676329</v>
      </c>
      <c r="BJ103" s="3">
        <f t="shared" si="149"/>
        <v>167.08194147300046</v>
      </c>
      <c r="BK103" s="3">
        <f t="shared" si="159"/>
        <v>408.3426980676329</v>
      </c>
      <c r="BL103" s="3">
        <f t="shared" si="150"/>
        <v>17.83087912952969</v>
      </c>
      <c r="BM103" s="21"/>
      <c r="BN103" s="21"/>
      <c r="BO103" s="21"/>
      <c r="BP103" s="21"/>
      <c r="BQ103" s="21"/>
      <c r="BR103" s="3">
        <f t="shared" si="160"/>
        <v>408.3426980676329</v>
      </c>
      <c r="BS103" s="3">
        <f t="shared" si="151"/>
        <v>1.9812087921699657</v>
      </c>
      <c r="BT103" s="21"/>
      <c r="BU103" s="3">
        <f t="shared" si="161"/>
        <v>408.3426980676329</v>
      </c>
      <c r="BV103" s="3">
        <f t="shared" si="152"/>
        <v>8.255036634041524</v>
      </c>
      <c r="BW103" s="21"/>
      <c r="BX103" s="21"/>
      <c r="BY103" s="21"/>
      <c r="BZ103" s="3">
        <f t="shared" si="162"/>
        <v>408.3426980676329</v>
      </c>
      <c r="CA103" s="3">
        <f t="shared" si="153"/>
        <v>19.151684990976335</v>
      </c>
      <c r="CB103" s="21"/>
      <c r="CC103" s="3">
        <f t="shared" si="163"/>
        <v>408.3426980676329</v>
      </c>
      <c r="CD103" s="3">
        <f t="shared" si="154"/>
        <v>6.604029307233219</v>
      </c>
      <c r="CE103" s="21"/>
      <c r="CF103" s="21"/>
      <c r="CG103" s="34">
        <f t="shared" si="155"/>
        <v>0</v>
      </c>
      <c r="CH103" s="34">
        <f t="shared" si="156"/>
        <v>0</v>
      </c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</row>
    <row r="104" spans="1:174" s="15" customFormat="1" ht="14.25">
      <c r="A104" s="20">
        <f t="shared" si="142"/>
        <v>2092</v>
      </c>
      <c r="B104" s="46">
        <v>4483.809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1"/>
      <c r="N104" s="21"/>
      <c r="O104" s="19"/>
      <c r="P104" s="19"/>
      <c r="Q104" s="19"/>
      <c r="R104" s="19"/>
      <c r="S104" s="19"/>
      <c r="T104" s="19"/>
      <c r="U104" s="1">
        <f t="shared" si="165"/>
        <v>32.16962461335558</v>
      </c>
      <c r="V104" s="1">
        <f t="shared" si="166"/>
        <v>0</v>
      </c>
      <c r="W104" s="1">
        <f t="shared" si="167"/>
        <v>0</v>
      </c>
      <c r="X104" s="1">
        <f t="shared" si="168"/>
        <v>288.5643294929249</v>
      </c>
      <c r="Y104" s="1">
        <f t="shared" si="169"/>
        <v>320.7339541062805</v>
      </c>
      <c r="Z104" s="20"/>
      <c r="AA104" s="1">
        <f t="shared" si="145"/>
        <v>288.5643294929249</v>
      </c>
      <c r="AB104" s="15">
        <f t="shared" si="140"/>
        <v>288.5643294929249</v>
      </c>
      <c r="AC104" s="19"/>
      <c r="AD104" s="2">
        <f t="shared" si="146"/>
        <v>32.16962461335558</v>
      </c>
      <c r="AE104" s="19"/>
      <c r="AF104" s="2">
        <f t="shared" si="147"/>
        <v>0</v>
      </c>
      <c r="AG104" s="19"/>
      <c r="AH104" s="2">
        <f t="shared" si="148"/>
        <v>0</v>
      </c>
      <c r="AI104" s="2">
        <f t="shared" si="143"/>
        <v>32.16962461335558</v>
      </c>
      <c r="AJ104" s="19"/>
      <c r="AK104" s="2">
        <f t="shared" si="141"/>
        <v>320.7339541062805</v>
      </c>
      <c r="AL104" s="2">
        <f t="shared" si="157"/>
        <v>320.7339541062805</v>
      </c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23"/>
      <c r="BD104" s="23"/>
      <c r="BE104" s="21"/>
      <c r="BF104" s="21"/>
      <c r="BG104" s="3">
        <f t="shared" si="144"/>
        <v>320.7339541062805</v>
      </c>
      <c r="BH104" s="34">
        <f t="shared" si="164"/>
        <v>8.136712053490735</v>
      </c>
      <c r="BI104" s="3">
        <f t="shared" si="158"/>
        <v>320.7339541062805</v>
      </c>
      <c r="BJ104" s="3">
        <f t="shared" si="149"/>
        <v>128.66175934582228</v>
      </c>
      <c r="BK104" s="3">
        <f t="shared" si="159"/>
        <v>320.7339541062805</v>
      </c>
      <c r="BL104" s="3">
        <f t="shared" si="150"/>
        <v>13.730701590265618</v>
      </c>
      <c r="BM104" s="21"/>
      <c r="BN104" s="21"/>
      <c r="BO104" s="21"/>
      <c r="BP104" s="21"/>
      <c r="BQ104" s="21"/>
      <c r="BR104" s="3">
        <f t="shared" si="160"/>
        <v>320.7339541062805</v>
      </c>
      <c r="BS104" s="3">
        <f t="shared" si="151"/>
        <v>1.5256335100295129</v>
      </c>
      <c r="BT104" s="21"/>
      <c r="BU104" s="3">
        <f t="shared" si="161"/>
        <v>320.7339541062805</v>
      </c>
      <c r="BV104" s="3">
        <f t="shared" si="152"/>
        <v>6.3568062917896375</v>
      </c>
      <c r="BW104" s="21"/>
      <c r="BX104" s="21"/>
      <c r="BY104" s="21"/>
      <c r="BZ104" s="3">
        <f t="shared" si="162"/>
        <v>320.7339541062805</v>
      </c>
      <c r="CA104" s="3">
        <f t="shared" si="153"/>
        <v>14.747790596951956</v>
      </c>
      <c r="CB104" s="21"/>
      <c r="CC104" s="3">
        <f t="shared" si="163"/>
        <v>320.7339541062805</v>
      </c>
      <c r="CD104" s="3">
        <f t="shared" si="154"/>
        <v>5.08544503343171</v>
      </c>
      <c r="CE104" s="21"/>
      <c r="CF104" s="21"/>
      <c r="CG104" s="34">
        <f t="shared" si="155"/>
        <v>0</v>
      </c>
      <c r="CH104" s="34">
        <f t="shared" si="156"/>
        <v>0</v>
      </c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</row>
    <row r="105" spans="1:174" s="15" customFormat="1" ht="14.25">
      <c r="A105" s="20">
        <f t="shared" si="142"/>
        <v>2093</v>
      </c>
      <c r="B105" s="46">
        <v>4483.809</v>
      </c>
      <c r="C105" s="19"/>
      <c r="D105" s="23"/>
      <c r="E105" s="19"/>
      <c r="F105" s="19"/>
      <c r="G105" s="19"/>
      <c r="H105" s="19"/>
      <c r="I105" s="19"/>
      <c r="J105" s="19"/>
      <c r="K105" s="19"/>
      <c r="L105" s="19"/>
      <c r="M105" s="21"/>
      <c r="N105" s="21"/>
      <c r="O105" s="19"/>
      <c r="P105" s="19"/>
      <c r="Q105" s="19"/>
      <c r="R105" s="19"/>
      <c r="S105" s="19"/>
      <c r="T105" s="19"/>
      <c r="U105" s="1">
        <f t="shared" si="165"/>
        <v>18.845439875474213</v>
      </c>
      <c r="V105" s="1">
        <f t="shared" si="166"/>
        <v>0</v>
      </c>
      <c r="W105" s="1">
        <f t="shared" si="167"/>
        <v>0</v>
      </c>
      <c r="X105" s="1">
        <f t="shared" si="168"/>
        <v>169.04523403756946</v>
      </c>
      <c r="Y105" s="1">
        <f t="shared" si="169"/>
        <v>187.89067391304366</v>
      </c>
      <c r="Z105" s="20"/>
      <c r="AA105" s="1">
        <f t="shared" si="145"/>
        <v>169.04523403756946</v>
      </c>
      <c r="AB105" s="15">
        <f t="shared" si="140"/>
        <v>169.04523403756946</v>
      </c>
      <c r="AC105" s="19"/>
      <c r="AD105" s="2">
        <f t="shared" si="146"/>
        <v>18.845439875474213</v>
      </c>
      <c r="AE105" s="19"/>
      <c r="AF105" s="2">
        <f t="shared" si="147"/>
        <v>0</v>
      </c>
      <c r="AG105" s="19"/>
      <c r="AH105" s="2">
        <f t="shared" si="148"/>
        <v>0</v>
      </c>
      <c r="AI105" s="2">
        <f t="shared" si="143"/>
        <v>18.845439875474213</v>
      </c>
      <c r="AJ105" s="19"/>
      <c r="AK105" s="2">
        <f t="shared" si="141"/>
        <v>187.89067391304366</v>
      </c>
      <c r="AL105" s="2">
        <f t="shared" si="157"/>
        <v>187.89067391304366</v>
      </c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23"/>
      <c r="BD105" s="23"/>
      <c r="BE105" s="21"/>
      <c r="BF105" s="21"/>
      <c r="BG105" s="3">
        <f t="shared" si="144"/>
        <v>187.89067391304366</v>
      </c>
      <c r="BH105" s="34">
        <f t="shared" si="164"/>
        <v>4.673142896141371</v>
      </c>
      <c r="BI105" s="3">
        <f t="shared" si="158"/>
        <v>187.89067391304366</v>
      </c>
      <c r="BJ105" s="3">
        <f t="shared" si="149"/>
        <v>73.89407204523545</v>
      </c>
      <c r="BK105" s="3">
        <f t="shared" si="159"/>
        <v>187.89067391304366</v>
      </c>
      <c r="BL105" s="3">
        <f t="shared" si="150"/>
        <v>7.885928637238566</v>
      </c>
      <c r="BM105" s="21"/>
      <c r="BN105" s="21"/>
      <c r="BO105" s="21"/>
      <c r="BP105" s="21"/>
      <c r="BQ105" s="21"/>
      <c r="BR105" s="3">
        <f t="shared" si="160"/>
        <v>187.89067391304366</v>
      </c>
      <c r="BS105" s="3">
        <f t="shared" si="151"/>
        <v>0.8762142930265072</v>
      </c>
      <c r="BT105" s="21"/>
      <c r="BU105" s="3">
        <f t="shared" si="161"/>
        <v>187.89067391304366</v>
      </c>
      <c r="BV105" s="3">
        <f t="shared" si="152"/>
        <v>3.6508928876104476</v>
      </c>
      <c r="BW105" s="21"/>
      <c r="BX105" s="21"/>
      <c r="BY105" s="21"/>
      <c r="BZ105" s="3">
        <f t="shared" si="162"/>
        <v>187.89067391304366</v>
      </c>
      <c r="CA105" s="3">
        <f t="shared" si="153"/>
        <v>8.470071499256237</v>
      </c>
      <c r="CB105" s="21"/>
      <c r="CC105" s="3">
        <f t="shared" si="163"/>
        <v>187.89067391304366</v>
      </c>
      <c r="CD105" s="3">
        <f t="shared" si="154"/>
        <v>2.920714310088358</v>
      </c>
      <c r="CE105" s="21"/>
      <c r="CF105" s="21"/>
      <c r="CG105" s="34">
        <f t="shared" si="155"/>
        <v>0</v>
      </c>
      <c r="CH105" s="34">
        <f t="shared" si="156"/>
        <v>0</v>
      </c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</row>
    <row r="106" spans="1:174" s="15" customFormat="1" ht="14.25">
      <c r="A106" s="20">
        <f t="shared" si="142"/>
        <v>2094</v>
      </c>
      <c r="B106" s="46">
        <v>4496.958</v>
      </c>
      <c r="C106" s="19"/>
      <c r="D106" s="23"/>
      <c r="E106" s="19"/>
      <c r="F106" s="19"/>
      <c r="G106" s="19"/>
      <c r="H106" s="19"/>
      <c r="I106" s="19"/>
      <c r="J106" s="19"/>
      <c r="K106" s="19"/>
      <c r="L106" s="19"/>
      <c r="M106" s="21"/>
      <c r="N106" s="21"/>
      <c r="O106" s="19"/>
      <c r="P106" s="19"/>
      <c r="Q106" s="19"/>
      <c r="R106" s="19"/>
      <c r="S106" s="19"/>
      <c r="T106" s="19"/>
      <c r="U106" s="1">
        <f t="shared" si="165"/>
        <v>19.485559243001504</v>
      </c>
      <c r="V106" s="1">
        <f t="shared" si="166"/>
        <v>0</v>
      </c>
      <c r="W106" s="1">
        <f t="shared" si="167"/>
        <v>0</v>
      </c>
      <c r="X106" s="1">
        <f t="shared" si="168"/>
        <v>175.11512771352022</v>
      </c>
      <c r="Y106" s="1">
        <f t="shared" si="169"/>
        <v>194.6006869565217</v>
      </c>
      <c r="Z106" s="20"/>
      <c r="AA106" s="1">
        <f t="shared" si="145"/>
        <v>175.11512771352022</v>
      </c>
      <c r="AB106" s="15">
        <f t="shared" si="140"/>
        <v>175.11512771352022</v>
      </c>
      <c r="AC106" s="19"/>
      <c r="AD106" s="2">
        <f t="shared" si="146"/>
        <v>19.485559243001504</v>
      </c>
      <c r="AE106" s="19"/>
      <c r="AF106" s="2">
        <f t="shared" si="147"/>
        <v>0</v>
      </c>
      <c r="AG106" s="19"/>
      <c r="AH106" s="2">
        <f t="shared" si="148"/>
        <v>0</v>
      </c>
      <c r="AI106" s="2">
        <f t="shared" si="143"/>
        <v>19.485559243001504</v>
      </c>
      <c r="AJ106" s="19"/>
      <c r="AK106" s="2">
        <f t="shared" si="141"/>
        <v>194.6006869565217</v>
      </c>
      <c r="AL106" s="2">
        <f t="shared" si="157"/>
        <v>194.6006869565217</v>
      </c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23"/>
      <c r="BD106" s="23"/>
      <c r="BE106" s="21"/>
      <c r="BF106" s="21"/>
      <c r="BG106" s="3">
        <f t="shared" si="144"/>
        <v>194.6006869565217</v>
      </c>
      <c r="BH106" s="34">
        <f t="shared" si="164"/>
        <v>4.745129117446725</v>
      </c>
      <c r="BI106" s="3">
        <f t="shared" si="158"/>
        <v>194.6006869565217</v>
      </c>
      <c r="BJ106" s="3">
        <f t="shared" si="149"/>
        <v>75.03235416962633</v>
      </c>
      <c r="BK106" s="3">
        <f t="shared" si="159"/>
        <v>194.6006869565217</v>
      </c>
      <c r="BL106" s="3">
        <f t="shared" si="150"/>
        <v>8.007405385691348</v>
      </c>
      <c r="BM106" s="21"/>
      <c r="BN106" s="21"/>
      <c r="BO106" s="21"/>
      <c r="BP106" s="21"/>
      <c r="BQ106" s="21"/>
      <c r="BR106" s="3">
        <f t="shared" si="160"/>
        <v>194.6006869565217</v>
      </c>
      <c r="BS106" s="3">
        <f t="shared" si="151"/>
        <v>0.8897117095212609</v>
      </c>
      <c r="BT106" s="21"/>
      <c r="BU106" s="3">
        <f t="shared" si="161"/>
        <v>194.6006869565217</v>
      </c>
      <c r="BV106" s="3">
        <f t="shared" si="152"/>
        <v>3.7071321230052536</v>
      </c>
      <c r="BW106" s="21"/>
      <c r="BX106" s="21"/>
      <c r="BY106" s="21"/>
      <c r="BZ106" s="3">
        <f t="shared" si="162"/>
        <v>194.6006869565217</v>
      </c>
      <c r="CA106" s="3">
        <f t="shared" si="153"/>
        <v>8.60054652537219</v>
      </c>
      <c r="CB106" s="21"/>
      <c r="CC106" s="3">
        <f t="shared" si="163"/>
        <v>194.6006869565217</v>
      </c>
      <c r="CD106" s="3">
        <f t="shared" si="154"/>
        <v>2.965705698404203</v>
      </c>
      <c r="CE106" s="21"/>
      <c r="CF106" s="21"/>
      <c r="CG106" s="34">
        <f t="shared" si="155"/>
        <v>0</v>
      </c>
      <c r="CH106" s="34">
        <f t="shared" si="156"/>
        <v>0</v>
      </c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</row>
    <row r="107" spans="1:174" s="15" customFormat="1" ht="14.25">
      <c r="A107" s="20">
        <f t="shared" si="142"/>
        <v>2095</v>
      </c>
      <c r="B107" s="46">
        <v>4503.5325</v>
      </c>
      <c r="C107" s="19"/>
      <c r="D107" s="23"/>
      <c r="E107" s="19"/>
      <c r="F107" s="19"/>
      <c r="G107" s="19"/>
      <c r="H107" s="19"/>
      <c r="I107" s="19"/>
      <c r="J107" s="19"/>
      <c r="K107" s="19"/>
      <c r="L107" s="19"/>
      <c r="M107" s="21"/>
      <c r="N107" s="21"/>
      <c r="O107" s="19"/>
      <c r="P107" s="19"/>
      <c r="Q107" s="19"/>
      <c r="R107" s="19"/>
      <c r="S107" s="19"/>
      <c r="T107" s="19"/>
      <c r="U107" s="1">
        <f t="shared" si="165"/>
        <v>18.44890524089766</v>
      </c>
      <c r="V107" s="1">
        <f t="shared" si="166"/>
        <v>0</v>
      </c>
      <c r="W107" s="1">
        <f t="shared" si="167"/>
        <v>0</v>
      </c>
      <c r="X107" s="1">
        <f t="shared" si="168"/>
        <v>163.91796529050316</v>
      </c>
      <c r="Y107" s="1">
        <f t="shared" si="169"/>
        <v>182.36687053140082</v>
      </c>
      <c r="Z107" s="20"/>
      <c r="AA107" s="1">
        <f t="shared" si="145"/>
        <v>163.91796529050316</v>
      </c>
      <c r="AB107" s="15">
        <f t="shared" si="140"/>
        <v>163.91796529050316</v>
      </c>
      <c r="AC107" s="19"/>
      <c r="AD107" s="2">
        <f t="shared" si="146"/>
        <v>18.44890524089766</v>
      </c>
      <c r="AE107" s="19"/>
      <c r="AF107" s="2">
        <f t="shared" si="147"/>
        <v>0</v>
      </c>
      <c r="AG107" s="19"/>
      <c r="AH107" s="2">
        <f t="shared" si="148"/>
        <v>0</v>
      </c>
      <c r="AI107" s="2">
        <f t="shared" si="143"/>
        <v>18.44890524089766</v>
      </c>
      <c r="AJ107" s="19"/>
      <c r="AK107" s="2">
        <f t="shared" si="141"/>
        <v>182.36687053140082</v>
      </c>
      <c r="AL107" s="2">
        <f t="shared" si="157"/>
        <v>182.36687053140082</v>
      </c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23"/>
      <c r="BD107" s="23"/>
      <c r="BE107" s="21"/>
      <c r="BF107" s="21"/>
      <c r="BG107" s="3">
        <f t="shared" si="144"/>
        <v>182.36687053140082</v>
      </c>
      <c r="BH107" s="34">
        <f t="shared" si="164"/>
        <v>4.359628058782023</v>
      </c>
      <c r="BI107" s="3">
        <f t="shared" si="158"/>
        <v>182.36687053140082</v>
      </c>
      <c r="BJ107" s="3">
        <f t="shared" si="149"/>
        <v>68.93661867949073</v>
      </c>
      <c r="BK107" s="3">
        <f t="shared" si="159"/>
        <v>182.36687053140082</v>
      </c>
      <c r="BL107" s="3">
        <f t="shared" si="150"/>
        <v>7.356872349194663</v>
      </c>
      <c r="BM107" s="21"/>
      <c r="BN107" s="21"/>
      <c r="BO107" s="21"/>
      <c r="BP107" s="21"/>
      <c r="BQ107" s="21"/>
      <c r="BR107" s="3">
        <f t="shared" si="160"/>
        <v>182.36687053140082</v>
      </c>
      <c r="BS107" s="3">
        <f t="shared" si="151"/>
        <v>0.8174302610216293</v>
      </c>
      <c r="BT107" s="21"/>
      <c r="BU107" s="3">
        <f t="shared" si="161"/>
        <v>182.36687053140082</v>
      </c>
      <c r="BV107" s="3">
        <f t="shared" si="152"/>
        <v>3.4059594209234554</v>
      </c>
      <c r="BW107" s="21"/>
      <c r="BX107" s="21"/>
      <c r="BY107" s="21"/>
      <c r="BZ107" s="3">
        <f t="shared" si="162"/>
        <v>182.36687053140082</v>
      </c>
      <c r="CA107" s="3">
        <f t="shared" si="153"/>
        <v>7.901825856542415</v>
      </c>
      <c r="CB107" s="21"/>
      <c r="CC107" s="3">
        <f t="shared" si="163"/>
        <v>182.36687053140082</v>
      </c>
      <c r="CD107" s="3">
        <f t="shared" si="154"/>
        <v>2.724767536738764</v>
      </c>
      <c r="CE107" s="21"/>
      <c r="CF107" s="21"/>
      <c r="CG107" s="34">
        <f t="shared" si="155"/>
        <v>0</v>
      </c>
      <c r="CH107" s="34">
        <f t="shared" si="156"/>
        <v>0</v>
      </c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</row>
    <row r="108" spans="1:174" s="15" customFormat="1" ht="14.25">
      <c r="A108" s="20">
        <f t="shared" si="142"/>
        <v>2096</v>
      </c>
      <c r="B108" s="46">
        <v>4510.107</v>
      </c>
      <c r="C108" s="19"/>
      <c r="D108" s="23"/>
      <c r="E108" s="19"/>
      <c r="F108" s="19"/>
      <c r="G108" s="19"/>
      <c r="H108" s="19"/>
      <c r="I108" s="19"/>
      <c r="J108" s="19"/>
      <c r="K108" s="19"/>
      <c r="L108" s="19"/>
      <c r="M108" s="21"/>
      <c r="N108" s="21"/>
      <c r="O108" s="19"/>
      <c r="P108" s="19"/>
      <c r="Q108" s="19"/>
      <c r="R108" s="19"/>
      <c r="S108" s="19"/>
      <c r="T108" s="19"/>
      <c r="U108" s="1">
        <f t="shared" si="165"/>
        <v>20.00604043277282</v>
      </c>
      <c r="V108" s="1">
        <f t="shared" si="166"/>
        <v>0</v>
      </c>
      <c r="W108" s="1">
        <f t="shared" si="167"/>
        <v>0</v>
      </c>
      <c r="X108" s="1">
        <f t="shared" si="168"/>
        <v>177.18374555756566</v>
      </c>
      <c r="Y108" s="1">
        <f t="shared" si="169"/>
        <v>197.18978599033846</v>
      </c>
      <c r="Z108" s="20"/>
      <c r="AA108" s="1">
        <f t="shared" si="145"/>
        <v>177.18374555756566</v>
      </c>
      <c r="AB108" s="15">
        <f t="shared" si="140"/>
        <v>177.18374555756566</v>
      </c>
      <c r="AC108" s="19"/>
      <c r="AD108" s="2">
        <f t="shared" si="146"/>
        <v>20.00604043277282</v>
      </c>
      <c r="AE108" s="19"/>
      <c r="AF108" s="2">
        <f t="shared" si="147"/>
        <v>0</v>
      </c>
      <c r="AG108" s="19"/>
      <c r="AH108" s="2">
        <f t="shared" si="148"/>
        <v>0</v>
      </c>
      <c r="AI108" s="2">
        <f t="shared" si="143"/>
        <v>20.00604043277282</v>
      </c>
      <c r="AJ108" s="19"/>
      <c r="AK108" s="2">
        <f t="shared" si="141"/>
        <v>197.18978599033846</v>
      </c>
      <c r="AL108" s="2">
        <f t="shared" si="157"/>
        <v>197.18978599033846</v>
      </c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23"/>
      <c r="BD108" s="23"/>
      <c r="BE108" s="21"/>
      <c r="BF108" s="21"/>
      <c r="BG108" s="3">
        <f t="shared" si="144"/>
        <v>197.18978599033846</v>
      </c>
      <c r="BH108" s="34">
        <f t="shared" si="164"/>
        <v>4.621550866569388</v>
      </c>
      <c r="BI108" s="3">
        <f t="shared" si="158"/>
        <v>197.18978599033846</v>
      </c>
      <c r="BJ108" s="3">
        <f t="shared" si="149"/>
        <v>73.07827307762844</v>
      </c>
      <c r="BK108" s="3">
        <f t="shared" si="159"/>
        <v>197.18978599033846</v>
      </c>
      <c r="BL108" s="3">
        <f t="shared" si="150"/>
        <v>7.798867087335841</v>
      </c>
      <c r="BM108" s="21"/>
      <c r="BN108" s="21"/>
      <c r="BO108" s="21"/>
      <c r="BP108" s="21"/>
      <c r="BQ108" s="21"/>
      <c r="BR108" s="3">
        <f t="shared" si="160"/>
        <v>197.18978599033846</v>
      </c>
      <c r="BS108" s="3">
        <f t="shared" si="151"/>
        <v>0.8665407874817601</v>
      </c>
      <c r="BT108" s="21"/>
      <c r="BU108" s="3">
        <f t="shared" si="161"/>
        <v>197.18978599033846</v>
      </c>
      <c r="BV108" s="3">
        <f t="shared" si="152"/>
        <v>3.6105866145073344</v>
      </c>
      <c r="BW108" s="21"/>
      <c r="BX108" s="21"/>
      <c r="BY108" s="21"/>
      <c r="BZ108" s="3">
        <f t="shared" si="162"/>
        <v>197.18978599033846</v>
      </c>
      <c r="CA108" s="3">
        <f t="shared" si="153"/>
        <v>8.376560945657015</v>
      </c>
      <c r="CB108" s="21"/>
      <c r="CC108" s="3">
        <f t="shared" si="163"/>
        <v>197.18978599033846</v>
      </c>
      <c r="CD108" s="3">
        <f t="shared" si="154"/>
        <v>2.888469291605867</v>
      </c>
      <c r="CE108" s="21"/>
      <c r="CF108" s="21"/>
      <c r="CG108" s="34">
        <f t="shared" si="155"/>
        <v>0</v>
      </c>
      <c r="CH108" s="34">
        <f t="shared" si="156"/>
        <v>0</v>
      </c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</row>
    <row r="109" spans="1:174" s="15" customFormat="1" ht="14.25">
      <c r="A109" s="20">
        <f aca="true" t="shared" si="170" ref="A109:A132">A108+1</f>
        <v>2097</v>
      </c>
      <c r="B109" s="46">
        <v>4510.107</v>
      </c>
      <c r="C109" s="19"/>
      <c r="D109" s="23"/>
      <c r="E109" s="19"/>
      <c r="F109" s="19"/>
      <c r="G109" s="19"/>
      <c r="H109" s="19"/>
      <c r="I109" s="19"/>
      <c r="J109" s="19"/>
      <c r="K109" s="19"/>
      <c r="L109" s="19"/>
      <c r="M109" s="21"/>
      <c r="N109" s="21"/>
      <c r="O109" s="19"/>
      <c r="P109" s="19"/>
      <c r="Q109" s="19"/>
      <c r="R109" s="19"/>
      <c r="S109" s="19"/>
      <c r="T109" s="19"/>
      <c r="U109" s="1">
        <f t="shared" si="165"/>
        <v>29.01222525810445</v>
      </c>
      <c r="V109" s="1">
        <f t="shared" si="166"/>
        <v>1.5137934521879028</v>
      </c>
      <c r="W109" s="1">
        <f t="shared" si="167"/>
        <v>0</v>
      </c>
      <c r="X109" s="1">
        <f t="shared" si="168"/>
        <v>171.19129626555332</v>
      </c>
      <c r="Y109" s="1">
        <f t="shared" si="169"/>
        <v>201.71731497584568</v>
      </c>
      <c r="Z109" s="20"/>
      <c r="AA109" s="1">
        <f t="shared" si="145"/>
        <v>171.19129626555332</v>
      </c>
      <c r="AB109" s="15">
        <f t="shared" si="140"/>
        <v>171.19129626555332</v>
      </c>
      <c r="AC109" s="19"/>
      <c r="AD109" s="2">
        <f t="shared" si="146"/>
        <v>29.01222525810445</v>
      </c>
      <c r="AE109" s="19"/>
      <c r="AF109" s="2">
        <f t="shared" si="147"/>
        <v>1.5137934521879028</v>
      </c>
      <c r="AG109" s="19"/>
      <c r="AH109" s="2">
        <f t="shared" si="148"/>
        <v>0</v>
      </c>
      <c r="AI109" s="2">
        <f t="shared" si="143"/>
        <v>30.526018710292355</v>
      </c>
      <c r="AJ109" s="19"/>
      <c r="AK109" s="2">
        <f t="shared" si="141"/>
        <v>201.71731497584568</v>
      </c>
      <c r="AL109" s="2">
        <f t="shared" si="157"/>
        <v>201.71731497584568</v>
      </c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23"/>
      <c r="BD109" s="23"/>
      <c r="BE109" s="21"/>
      <c r="BF109" s="21"/>
      <c r="BG109" s="3">
        <f t="shared" si="144"/>
        <v>201.71731497584568</v>
      </c>
      <c r="BH109" s="34">
        <f t="shared" si="164"/>
        <v>4.634963609270063</v>
      </c>
      <c r="BI109" s="3">
        <f t="shared" si="158"/>
        <v>201.71731497584568</v>
      </c>
      <c r="BJ109" s="3">
        <f t="shared" si="149"/>
        <v>73.29036207158286</v>
      </c>
      <c r="BK109" s="3">
        <f t="shared" si="159"/>
        <v>201.71731497584568</v>
      </c>
      <c r="BL109" s="3">
        <f t="shared" si="150"/>
        <v>7.821501090643232</v>
      </c>
      <c r="BM109" s="21"/>
      <c r="BN109" s="21"/>
      <c r="BO109" s="21"/>
      <c r="BP109" s="21"/>
      <c r="BQ109" s="21"/>
      <c r="BR109" s="3">
        <f t="shared" si="160"/>
        <v>201.71731497584568</v>
      </c>
      <c r="BS109" s="3">
        <f t="shared" si="151"/>
        <v>0.8690556767381369</v>
      </c>
      <c r="BT109" s="21"/>
      <c r="BU109" s="3">
        <f t="shared" si="161"/>
        <v>201.71731497584568</v>
      </c>
      <c r="BV109" s="3">
        <f t="shared" si="152"/>
        <v>3.621065319742237</v>
      </c>
      <c r="BW109" s="21"/>
      <c r="BX109" s="21"/>
      <c r="BY109" s="21"/>
      <c r="BZ109" s="3">
        <f t="shared" si="162"/>
        <v>201.71731497584568</v>
      </c>
      <c r="CA109" s="3">
        <f t="shared" si="153"/>
        <v>8.400871541801989</v>
      </c>
      <c r="CB109" s="21"/>
      <c r="CC109" s="3">
        <f t="shared" si="163"/>
        <v>201.71731497584568</v>
      </c>
      <c r="CD109" s="3">
        <f t="shared" si="154"/>
        <v>2.8968522557937892</v>
      </c>
      <c r="CE109" s="21"/>
      <c r="CF109" s="21"/>
      <c r="CG109" s="34">
        <f t="shared" si="155"/>
        <v>0</v>
      </c>
      <c r="CH109" s="34">
        <f t="shared" si="156"/>
        <v>0</v>
      </c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</row>
    <row r="110" spans="1:174" s="15" customFormat="1" ht="14.25">
      <c r="A110" s="20">
        <f t="shared" si="170"/>
        <v>2098</v>
      </c>
      <c r="B110" s="46">
        <v>4529.8305</v>
      </c>
      <c r="C110" s="19"/>
      <c r="D110" s="23"/>
      <c r="E110" s="19"/>
      <c r="F110" s="19"/>
      <c r="G110" s="19"/>
      <c r="H110" s="19"/>
      <c r="I110" s="19"/>
      <c r="J110" s="19"/>
      <c r="K110" s="19"/>
      <c r="L110" s="19"/>
      <c r="M110" s="21"/>
      <c r="N110" s="21"/>
      <c r="O110" s="19"/>
      <c r="P110" s="19"/>
      <c r="Q110" s="19"/>
      <c r="R110" s="19"/>
      <c r="S110" s="19"/>
      <c r="T110" s="19"/>
      <c r="U110" s="1">
        <f t="shared" si="165"/>
        <v>30.885541575153297</v>
      </c>
      <c r="V110" s="1">
        <f t="shared" si="166"/>
        <v>1.767491044949768</v>
      </c>
      <c r="W110" s="1">
        <f t="shared" si="167"/>
        <v>0</v>
      </c>
      <c r="X110" s="1">
        <f t="shared" si="168"/>
        <v>186.04978235574265</v>
      </c>
      <c r="Y110" s="1">
        <f t="shared" si="169"/>
        <v>218.7028149758457</v>
      </c>
      <c r="Z110" s="20"/>
      <c r="AA110" s="1">
        <f t="shared" si="145"/>
        <v>186.04978235574265</v>
      </c>
      <c r="AB110" s="15">
        <f t="shared" si="140"/>
        <v>186.04978235574265</v>
      </c>
      <c r="AC110" s="19"/>
      <c r="AD110" s="2">
        <f t="shared" si="146"/>
        <v>30.885541575153297</v>
      </c>
      <c r="AE110" s="19"/>
      <c r="AF110" s="2">
        <f t="shared" si="147"/>
        <v>1.767491044949768</v>
      </c>
      <c r="AG110" s="19"/>
      <c r="AH110" s="2">
        <f t="shared" si="148"/>
        <v>0</v>
      </c>
      <c r="AI110" s="2">
        <f t="shared" si="143"/>
        <v>32.65303262010306</v>
      </c>
      <c r="AJ110" s="19"/>
      <c r="AK110" s="2">
        <f t="shared" si="141"/>
        <v>218.7028149758457</v>
      </c>
      <c r="AL110" s="2">
        <f t="shared" si="157"/>
        <v>218.7028149758457</v>
      </c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23"/>
      <c r="BD110" s="23"/>
      <c r="BE110" s="21"/>
      <c r="BF110" s="21"/>
      <c r="BG110" s="3">
        <f aca="true" t="shared" si="171" ref="BG110:BG117">Y110</f>
        <v>218.7028149758457</v>
      </c>
      <c r="BH110" s="34">
        <f t="shared" si="164"/>
        <v>4.926713992852461</v>
      </c>
      <c r="BI110" s="3">
        <f t="shared" si="158"/>
        <v>218.7028149758457</v>
      </c>
      <c r="BJ110" s="3">
        <f t="shared" si="149"/>
        <v>77.90366501197953</v>
      </c>
      <c r="BK110" s="3">
        <f t="shared" si="159"/>
        <v>218.7028149758457</v>
      </c>
      <c r="BL110" s="3">
        <f t="shared" si="150"/>
        <v>8.313829862938526</v>
      </c>
      <c r="BM110" s="21"/>
      <c r="BN110" s="21"/>
      <c r="BO110" s="21"/>
      <c r="BP110" s="21"/>
      <c r="BQ110" s="21"/>
      <c r="BR110" s="3">
        <f t="shared" si="160"/>
        <v>218.7028149758457</v>
      </c>
      <c r="BS110" s="3">
        <f t="shared" si="151"/>
        <v>0.9237588736598362</v>
      </c>
      <c r="BT110" s="21"/>
      <c r="BU110" s="3">
        <f t="shared" si="161"/>
        <v>218.7028149758457</v>
      </c>
      <c r="BV110" s="3">
        <f t="shared" si="152"/>
        <v>3.8489953069159846</v>
      </c>
      <c r="BW110" s="21"/>
      <c r="BX110" s="21"/>
      <c r="BY110" s="21"/>
      <c r="BZ110" s="3">
        <f t="shared" si="162"/>
        <v>218.7028149758457</v>
      </c>
      <c r="CA110" s="3">
        <f t="shared" si="153"/>
        <v>8.929669112045083</v>
      </c>
      <c r="CB110" s="21"/>
      <c r="CC110" s="3">
        <f t="shared" si="163"/>
        <v>218.7028149758457</v>
      </c>
      <c r="CD110" s="3">
        <f t="shared" si="154"/>
        <v>3.0791962455327875</v>
      </c>
      <c r="CE110" s="21"/>
      <c r="CF110" s="21"/>
      <c r="CG110" s="34">
        <f t="shared" si="155"/>
        <v>0</v>
      </c>
      <c r="CH110" s="34">
        <f t="shared" si="156"/>
        <v>0</v>
      </c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</row>
    <row r="111" spans="1:174" s="15" customFormat="1" ht="14.25">
      <c r="A111" s="20">
        <f t="shared" si="170"/>
        <v>2099</v>
      </c>
      <c r="B111" s="46">
        <v>4542.9795</v>
      </c>
      <c r="C111" s="19"/>
      <c r="D111" s="23"/>
      <c r="E111" s="19"/>
      <c r="F111" s="19"/>
      <c r="G111" s="19"/>
      <c r="H111" s="19"/>
      <c r="I111" s="19"/>
      <c r="J111" s="19"/>
      <c r="K111" s="19"/>
      <c r="L111" s="19"/>
      <c r="M111" s="21"/>
      <c r="N111" s="21"/>
      <c r="O111" s="19"/>
      <c r="P111" s="19"/>
      <c r="Q111" s="19"/>
      <c r="R111" s="19"/>
      <c r="S111" s="19"/>
      <c r="T111" s="19"/>
      <c r="U111" s="1">
        <f t="shared" si="165"/>
        <v>34.70055500548767</v>
      </c>
      <c r="V111" s="1">
        <f t="shared" si="166"/>
        <v>2.42053105584397</v>
      </c>
      <c r="W111" s="1">
        <f t="shared" si="167"/>
        <v>0</v>
      </c>
      <c r="X111" s="1">
        <f t="shared" si="168"/>
        <v>211.5344511367358</v>
      </c>
      <c r="Y111" s="1">
        <f t="shared" si="169"/>
        <v>248.65553719806746</v>
      </c>
      <c r="Z111" s="20"/>
      <c r="AA111" s="1">
        <f t="shared" si="145"/>
        <v>211.5344511367358</v>
      </c>
      <c r="AB111" s="15">
        <f t="shared" si="140"/>
        <v>211.5344511367358</v>
      </c>
      <c r="AC111" s="19"/>
      <c r="AD111" s="2">
        <f t="shared" si="146"/>
        <v>34.70055500548767</v>
      </c>
      <c r="AE111" s="19"/>
      <c r="AF111" s="2">
        <f t="shared" si="147"/>
        <v>2.42053105584397</v>
      </c>
      <c r="AG111" s="19"/>
      <c r="AH111" s="2">
        <f t="shared" si="148"/>
        <v>0</v>
      </c>
      <c r="AI111" s="2">
        <f t="shared" si="143"/>
        <v>37.12108606133164</v>
      </c>
      <c r="AJ111" s="19"/>
      <c r="AK111" s="2">
        <f t="shared" si="141"/>
        <v>248.65553719806746</v>
      </c>
      <c r="AL111" s="2">
        <f t="shared" si="157"/>
        <v>248.65553719806746</v>
      </c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23"/>
      <c r="BD111" s="23"/>
      <c r="BE111" s="21"/>
      <c r="BF111" s="21"/>
      <c r="BG111" s="3">
        <f t="shared" si="171"/>
        <v>248.65553719806746</v>
      </c>
      <c r="BH111" s="34">
        <f t="shared" si="164"/>
        <v>5.491625857535791</v>
      </c>
      <c r="BI111" s="3">
        <f t="shared" si="158"/>
        <v>248.65553719806746</v>
      </c>
      <c r="BJ111" s="3">
        <f t="shared" si="149"/>
        <v>86.8363338722847</v>
      </c>
      <c r="BK111" s="3">
        <f t="shared" si="159"/>
        <v>248.65553719806746</v>
      </c>
      <c r="BL111" s="3">
        <f t="shared" si="150"/>
        <v>9.267118634591647</v>
      </c>
      <c r="BM111" s="21"/>
      <c r="BN111" s="21"/>
      <c r="BO111" s="21"/>
      <c r="BP111" s="21"/>
      <c r="BQ111" s="21"/>
      <c r="BR111" s="3">
        <f t="shared" si="160"/>
        <v>248.65553719806746</v>
      </c>
      <c r="BS111" s="3">
        <f t="shared" si="151"/>
        <v>1.0296798482879608</v>
      </c>
      <c r="BT111" s="21"/>
      <c r="BU111" s="3">
        <f t="shared" si="161"/>
        <v>248.65553719806746</v>
      </c>
      <c r="BV111" s="3">
        <f t="shared" si="152"/>
        <v>4.290332701199837</v>
      </c>
      <c r="BW111" s="21"/>
      <c r="BX111" s="21"/>
      <c r="BY111" s="21"/>
      <c r="BZ111" s="3">
        <f t="shared" si="162"/>
        <v>248.65553719806746</v>
      </c>
      <c r="CA111" s="3">
        <f t="shared" si="153"/>
        <v>9.953571866783621</v>
      </c>
      <c r="CB111" s="21"/>
      <c r="CC111" s="3">
        <f t="shared" si="163"/>
        <v>248.65553719806746</v>
      </c>
      <c r="CD111" s="3">
        <f t="shared" si="154"/>
        <v>3.432266160959869</v>
      </c>
      <c r="CE111" s="21"/>
      <c r="CF111" s="21"/>
      <c r="CG111" s="34">
        <f t="shared" si="155"/>
        <v>0</v>
      </c>
      <c r="CH111" s="34">
        <f t="shared" si="156"/>
        <v>0</v>
      </c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</row>
    <row r="112" spans="1:174" s="15" customFormat="1" ht="14.25">
      <c r="A112" s="20">
        <f t="shared" si="170"/>
        <v>2100</v>
      </c>
      <c r="B112" s="46">
        <v>4542.9795</v>
      </c>
      <c r="C112" s="19"/>
      <c r="D112" s="23"/>
      <c r="E112" s="19"/>
      <c r="F112" s="19"/>
      <c r="G112" s="19"/>
      <c r="H112" s="19"/>
      <c r="I112" s="19"/>
      <c r="J112" s="19"/>
      <c r="K112" s="19"/>
      <c r="L112" s="19"/>
      <c r="M112" s="21"/>
      <c r="N112" s="21"/>
      <c r="O112" s="19"/>
      <c r="P112" s="19"/>
      <c r="Q112" s="19"/>
      <c r="R112" s="19"/>
      <c r="S112" s="19"/>
      <c r="T112" s="19"/>
      <c r="U112" s="1">
        <f t="shared" si="165"/>
        <v>36.423785532189186</v>
      </c>
      <c r="V112" s="1">
        <f t="shared" si="166"/>
        <v>2.876462983249498</v>
      </c>
      <c r="W112" s="1">
        <f t="shared" si="167"/>
        <v>0</v>
      </c>
      <c r="X112" s="1">
        <f t="shared" si="168"/>
        <v>227.28481766813582</v>
      </c>
      <c r="Y112" s="1">
        <f t="shared" si="169"/>
        <v>266.5850661835745</v>
      </c>
      <c r="Z112" s="20"/>
      <c r="AA112" s="1">
        <f t="shared" si="145"/>
        <v>227.28481766813582</v>
      </c>
      <c r="AB112" s="15">
        <f t="shared" si="140"/>
        <v>227.28481766813582</v>
      </c>
      <c r="AC112" s="19"/>
      <c r="AD112" s="2">
        <f t="shared" si="146"/>
        <v>36.423785532189186</v>
      </c>
      <c r="AE112" s="19"/>
      <c r="AF112" s="2">
        <f t="shared" si="147"/>
        <v>2.876462983249498</v>
      </c>
      <c r="AG112" s="19"/>
      <c r="AH112" s="2">
        <f t="shared" si="148"/>
        <v>0</v>
      </c>
      <c r="AI112" s="2">
        <f t="shared" si="143"/>
        <v>39.30024851543868</v>
      </c>
      <c r="AJ112" s="19"/>
      <c r="AK112" s="2">
        <f t="shared" si="141"/>
        <v>266.5850661835745</v>
      </c>
      <c r="AL112" s="2">
        <f t="shared" si="157"/>
        <v>266.5850661835745</v>
      </c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23"/>
      <c r="BD112" s="23"/>
      <c r="BE112" s="21"/>
      <c r="BF112" s="21"/>
      <c r="BG112" s="3">
        <f t="shared" si="171"/>
        <v>266.5850661835745</v>
      </c>
      <c r="BH112" s="34">
        <f t="shared" si="164"/>
        <v>5.772161207204111</v>
      </c>
      <c r="BI112" s="3">
        <f t="shared" si="158"/>
        <v>266.5850661835745</v>
      </c>
      <c r="BJ112" s="3">
        <f t="shared" si="149"/>
        <v>91.272299088915</v>
      </c>
      <c r="BK112" s="3">
        <f t="shared" si="159"/>
        <v>266.5850661835745</v>
      </c>
      <c r="BL112" s="3">
        <f t="shared" si="150"/>
        <v>9.740522037156937</v>
      </c>
      <c r="BM112" s="21"/>
      <c r="BN112" s="21"/>
      <c r="BO112" s="21"/>
      <c r="BP112" s="21"/>
      <c r="BQ112" s="21"/>
      <c r="BR112" s="3">
        <f t="shared" si="160"/>
        <v>266.5850661835745</v>
      </c>
      <c r="BS112" s="3">
        <f t="shared" si="151"/>
        <v>1.0822802263507707</v>
      </c>
      <c r="BT112" s="21"/>
      <c r="BU112" s="3">
        <f t="shared" si="161"/>
        <v>266.5850661835745</v>
      </c>
      <c r="BV112" s="3">
        <f t="shared" si="152"/>
        <v>4.509500943128211</v>
      </c>
      <c r="BW112" s="21"/>
      <c r="BX112" s="21"/>
      <c r="BY112" s="21"/>
      <c r="BZ112" s="3">
        <f t="shared" si="162"/>
        <v>266.5850661835745</v>
      </c>
      <c r="CA112" s="3">
        <f t="shared" si="153"/>
        <v>10.462042188057453</v>
      </c>
      <c r="CB112" s="21"/>
      <c r="CC112" s="3">
        <f t="shared" si="163"/>
        <v>266.5850661835745</v>
      </c>
      <c r="CD112" s="3">
        <f t="shared" si="154"/>
        <v>3.6076007545025695</v>
      </c>
      <c r="CE112" s="21"/>
      <c r="CF112" s="21"/>
      <c r="CG112" s="34">
        <f t="shared" si="155"/>
        <v>0</v>
      </c>
      <c r="CH112" s="34">
        <f t="shared" si="156"/>
        <v>0</v>
      </c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</row>
    <row r="113" spans="1:174" s="15" customFormat="1" ht="14.25">
      <c r="A113" s="20">
        <f t="shared" si="170"/>
        <v>2101</v>
      </c>
      <c r="B113" s="46">
        <v>4542.9795</v>
      </c>
      <c r="C113" s="19"/>
      <c r="D113" s="23"/>
      <c r="E113" s="19"/>
      <c r="F113" s="19"/>
      <c r="G113" s="19"/>
      <c r="H113" s="19"/>
      <c r="I113" s="19"/>
      <c r="J113" s="19"/>
      <c r="K113" s="19"/>
      <c r="L113" s="19"/>
      <c r="M113" s="21"/>
      <c r="N113" s="21"/>
      <c r="O113" s="19"/>
      <c r="P113" s="19"/>
      <c r="Q113" s="19"/>
      <c r="R113" s="19"/>
      <c r="S113" s="19"/>
      <c r="T113" s="19"/>
      <c r="U113" s="1">
        <f t="shared" si="165"/>
        <v>36.83423028050534</v>
      </c>
      <c r="V113" s="1">
        <f t="shared" si="166"/>
        <v>3.3907865713782694</v>
      </c>
      <c r="W113" s="1">
        <f t="shared" si="167"/>
        <v>0</v>
      </c>
      <c r="X113" s="1">
        <f t="shared" si="168"/>
        <v>233.67086092589432</v>
      </c>
      <c r="Y113" s="1">
        <f t="shared" si="169"/>
        <v>273.8958777777779</v>
      </c>
      <c r="Z113" s="20"/>
      <c r="AA113" s="1">
        <f t="shared" si="145"/>
        <v>233.67086092589432</v>
      </c>
      <c r="AB113" s="15">
        <f t="shared" si="140"/>
        <v>233.67086092589432</v>
      </c>
      <c r="AC113" s="19"/>
      <c r="AD113" s="2">
        <f t="shared" si="146"/>
        <v>36.83423028050534</v>
      </c>
      <c r="AE113" s="19"/>
      <c r="AF113" s="2">
        <f t="shared" si="147"/>
        <v>3.3907865713782694</v>
      </c>
      <c r="AG113" s="19"/>
      <c r="AH113" s="2">
        <f t="shared" si="148"/>
        <v>0</v>
      </c>
      <c r="AI113" s="2">
        <f t="shared" si="143"/>
        <v>40.22501685188361</v>
      </c>
      <c r="AJ113" s="19"/>
      <c r="AK113" s="2">
        <f t="shared" si="141"/>
        <v>273.8958777777779</v>
      </c>
      <c r="AL113" s="2">
        <f t="shared" si="157"/>
        <v>273.8958777777779</v>
      </c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23"/>
      <c r="BD113" s="23"/>
      <c r="BE113" s="21"/>
      <c r="BF113" s="21"/>
      <c r="BG113" s="3">
        <f t="shared" si="171"/>
        <v>273.8958777777779</v>
      </c>
      <c r="BH113" s="34">
        <f t="shared" si="164"/>
        <v>5.814173120015039</v>
      </c>
      <c r="BI113" s="3">
        <f t="shared" si="158"/>
        <v>273.8958777777779</v>
      </c>
      <c r="BJ113" s="3">
        <f>BI113*$CN$40/((1+$H$5)^(A113-$C$2+1))/10^8*IF(A113&lt;$L$4,1,$H$6)</f>
        <v>91.93661246023781</v>
      </c>
      <c r="BK113" s="3">
        <f t="shared" si="159"/>
        <v>273.8958777777779</v>
      </c>
      <c r="BL113" s="3">
        <f>BK113*$CN$41/(1+$H$5)^(A113-$C$2+1)/10^8</f>
        <v>9.811417140025377</v>
      </c>
      <c r="BM113" s="21"/>
      <c r="BN113" s="21"/>
      <c r="BO113" s="21"/>
      <c r="BP113" s="21"/>
      <c r="BQ113" s="21"/>
      <c r="BR113" s="3">
        <f t="shared" si="160"/>
        <v>273.8958777777779</v>
      </c>
      <c r="BS113" s="3">
        <f>BQ113*$CN$43/(1+$H$5)^48/(1+$H$5)^(A113-8-$C$2+1)/10^8+BR113*$CN$43/(1+$H$5)^(A113-$C$2+1)/10^8</f>
        <v>1.0901574600028197</v>
      </c>
      <c r="BT113" s="21"/>
      <c r="BU113" s="3">
        <f t="shared" si="161"/>
        <v>273.8958777777779</v>
      </c>
      <c r="BV113" s="3">
        <f>BU113*$CN$45/(1+$H$5)^(A113-$C$2+1)/10^8</f>
        <v>4.542322750011748</v>
      </c>
      <c r="BW113" s="21"/>
      <c r="BX113" s="21"/>
      <c r="BY113" s="21"/>
      <c r="BZ113" s="3">
        <f t="shared" si="162"/>
        <v>273.8958777777779</v>
      </c>
      <c r="CA113" s="3">
        <f>BY113*$CN$47/(1+$H$5)^33/(1+$H$5)^(A113-8-$C$2+1)/10^8+BZ113*$CN$47/(1+$H$5)^(A113-$C$2+1)/10^8</f>
        <v>10.538188780027257</v>
      </c>
      <c r="CB113" s="21"/>
      <c r="CC113" s="3">
        <f t="shared" si="163"/>
        <v>273.8958777777779</v>
      </c>
      <c r="CD113" s="3">
        <f>CB113*$CN$48/(1+$H$5)^15/(1+$H$5)^(A113-8-$C$2+1)/10^8+CC113*$CN$48/(1+$H$5)^(A113-$C$2+1)/10^8</f>
        <v>3.633858200009399</v>
      </c>
      <c r="CE113" s="21"/>
      <c r="CF113" s="21"/>
      <c r="CG113" s="34">
        <f aca="true" t="shared" si="172" ref="CG113:CG125">IF($L$3&gt;0,0,X113*$CN$51/(1+$H$5)^(A113+1-$C$2+1)/10^8)</f>
        <v>0</v>
      </c>
      <c r="CH113" s="34">
        <f aca="true" t="shared" si="173" ref="CH113:CH125">IF($L$3&gt;0,0,(U113+V113+W113)*$CN$51*$L$5/(1+$H$5)^(A113+1-$C$2+1)/10^8)</f>
        <v>0</v>
      </c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</row>
    <row r="114" spans="1:174" s="15" customFormat="1" ht="14.25">
      <c r="A114" s="20">
        <f t="shared" si="170"/>
        <v>2102</v>
      </c>
      <c r="B114" s="46">
        <v>4556.1285</v>
      </c>
      <c r="C114" s="19"/>
      <c r="D114" s="23"/>
      <c r="E114" s="19"/>
      <c r="F114" s="19"/>
      <c r="G114" s="19"/>
      <c r="H114" s="19"/>
      <c r="I114" s="19"/>
      <c r="J114" s="19"/>
      <c r="K114" s="19"/>
      <c r="L114" s="19"/>
      <c r="M114" s="21"/>
      <c r="N114" s="21"/>
      <c r="O114" s="19"/>
      <c r="P114" s="19"/>
      <c r="Q114" s="19"/>
      <c r="R114" s="19"/>
      <c r="S114" s="19"/>
      <c r="T114" s="19"/>
      <c r="U114" s="1">
        <f t="shared" si="165"/>
        <v>38.61593613960633</v>
      </c>
      <c r="V114" s="1">
        <f t="shared" si="166"/>
        <v>3.530250300015666</v>
      </c>
      <c r="W114" s="1">
        <f t="shared" si="167"/>
        <v>0</v>
      </c>
      <c r="X114" s="1">
        <f t="shared" si="168"/>
        <v>240.39335317390487</v>
      </c>
      <c r="Y114" s="1">
        <f t="shared" si="169"/>
        <v>282.53953961352687</v>
      </c>
      <c r="Z114" s="20"/>
      <c r="AA114" s="1">
        <f t="shared" si="145"/>
        <v>240.39335317390487</v>
      </c>
      <c r="AB114" s="15">
        <f t="shared" si="140"/>
        <v>240.39335317390487</v>
      </c>
      <c r="AC114" s="19"/>
      <c r="AD114" s="2">
        <f t="shared" si="146"/>
        <v>38.61593613960633</v>
      </c>
      <c r="AE114" s="19"/>
      <c r="AF114" s="2">
        <f t="shared" si="147"/>
        <v>3.530250300015666</v>
      </c>
      <c r="AG114" s="19"/>
      <c r="AH114" s="2">
        <f t="shared" si="148"/>
        <v>0</v>
      </c>
      <c r="AI114" s="2">
        <f t="shared" si="143"/>
        <v>42.146186439622</v>
      </c>
      <c r="AJ114" s="19"/>
      <c r="AK114" s="2">
        <f t="shared" si="141"/>
        <v>282.53953961352687</v>
      </c>
      <c r="AL114" s="2">
        <f t="shared" si="157"/>
        <v>282.53953961352687</v>
      </c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23"/>
      <c r="BD114" s="23"/>
      <c r="BE114" s="21"/>
      <c r="BF114" s="21"/>
      <c r="BG114" s="3">
        <f t="shared" si="171"/>
        <v>282.53953961352687</v>
      </c>
      <c r="BH114" s="34">
        <f t="shared" si="164"/>
        <v>5.880056841416973</v>
      </c>
      <c r="BI114" s="3">
        <f t="shared" si="158"/>
        <v>282.53953961352687</v>
      </c>
      <c r="BJ114" s="3">
        <f>BI114*$CN$40/((1+$H$5)^(A114-$C$2+1))/10^8*IF(A114&lt;$L$4,1,$H$6)</f>
        <v>92.9783988049059</v>
      </c>
      <c r="BK114" s="3">
        <f t="shared" si="159"/>
        <v>282.53953961352687</v>
      </c>
      <c r="BL114" s="3">
        <f>BK114*$CN$41/(1+$H$5)^(A114-$C$2+1)/10^8</f>
        <v>9.922595919891142</v>
      </c>
      <c r="BM114" s="21"/>
      <c r="BN114" s="21"/>
      <c r="BO114" s="21"/>
      <c r="BP114" s="21"/>
      <c r="BQ114" s="21"/>
      <c r="BR114" s="3">
        <f t="shared" si="160"/>
        <v>282.53953961352687</v>
      </c>
      <c r="BS114" s="3">
        <f>BQ114*$CN$43/(1+$H$5)^48/(1+$H$5)^(A114-8-$C$2+1)/10^8+BR114*$CN$43/(1+$H$5)^(A114-$C$2+1)/10^8</f>
        <v>1.1025106577656822</v>
      </c>
      <c r="BT114" s="21"/>
      <c r="BU114" s="3">
        <f t="shared" si="161"/>
        <v>282.53953961352687</v>
      </c>
      <c r="BV114" s="3">
        <f>BU114*$CN$45/(1+$H$5)^(A114-$C$2+1)/10^8</f>
        <v>4.59379440735701</v>
      </c>
      <c r="BW114" s="21"/>
      <c r="BX114" s="21"/>
      <c r="BY114" s="21"/>
      <c r="BZ114" s="3">
        <f t="shared" si="162"/>
        <v>282.53953961352687</v>
      </c>
      <c r="CA114" s="3">
        <f>BY114*$CN$47/(1+$H$5)^33/(1+$H$5)^(A114-8-$C$2+1)/10^8+BZ114*$CN$47/(1+$H$5)^(A114-$C$2+1)/10^8</f>
        <v>10.657603025068264</v>
      </c>
      <c r="CB114" s="21"/>
      <c r="CC114" s="3">
        <f t="shared" si="163"/>
        <v>282.53953961352687</v>
      </c>
      <c r="CD114" s="3">
        <f>CB114*$CN$48/(1+$H$5)^15/(1+$H$5)^(A114-8-$C$2+1)/10^8+CC114*$CN$48/(1+$H$5)^(A114-$C$2+1)/10^8</f>
        <v>3.6750355258856082</v>
      </c>
      <c r="CE114" s="21"/>
      <c r="CF114" s="21"/>
      <c r="CG114" s="34">
        <f t="shared" si="172"/>
        <v>0</v>
      </c>
      <c r="CH114" s="34">
        <f t="shared" si="173"/>
        <v>0</v>
      </c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</row>
    <row r="115" spans="1:174" s="15" customFormat="1" ht="14.25">
      <c r="A115" s="20">
        <f t="shared" si="170"/>
        <v>2103</v>
      </c>
      <c r="B115" s="46">
        <v>4556.1285</v>
      </c>
      <c r="C115" s="19"/>
      <c r="D115" s="23"/>
      <c r="E115" s="19"/>
      <c r="F115" s="19"/>
      <c r="G115" s="19"/>
      <c r="H115" s="19"/>
      <c r="I115" s="19"/>
      <c r="J115" s="19"/>
      <c r="K115" s="19"/>
      <c r="L115" s="19"/>
      <c r="M115" s="21"/>
      <c r="N115" s="21"/>
      <c r="O115" s="19"/>
      <c r="P115" s="19"/>
      <c r="Q115" s="19"/>
      <c r="R115" s="19"/>
      <c r="S115" s="19"/>
      <c r="T115" s="19"/>
      <c r="U115" s="1">
        <f t="shared" si="165"/>
        <v>38.579526962234624</v>
      </c>
      <c r="V115" s="1">
        <f t="shared" si="166"/>
        <v>3.5666594773873754</v>
      </c>
      <c r="W115" s="1">
        <f t="shared" si="167"/>
        <v>0</v>
      </c>
      <c r="X115" s="1">
        <f t="shared" si="168"/>
        <v>240.39335317390487</v>
      </c>
      <c r="Y115" s="1">
        <f t="shared" si="169"/>
        <v>282.53953961352687</v>
      </c>
      <c r="Z115" s="20"/>
      <c r="AA115" s="1">
        <f t="shared" si="145"/>
        <v>240.39335317390487</v>
      </c>
      <c r="AB115" s="15">
        <f t="shared" si="140"/>
        <v>240.39335317390487</v>
      </c>
      <c r="AC115" s="19"/>
      <c r="AD115" s="2">
        <f t="shared" si="146"/>
        <v>38.579526962234624</v>
      </c>
      <c r="AE115" s="19"/>
      <c r="AF115" s="2">
        <f t="shared" si="147"/>
        <v>3.5666594773873754</v>
      </c>
      <c r="AG115" s="19"/>
      <c r="AH115" s="2">
        <f t="shared" si="148"/>
        <v>0</v>
      </c>
      <c r="AI115" s="2">
        <f t="shared" si="143"/>
        <v>42.146186439622</v>
      </c>
      <c r="AJ115" s="19"/>
      <c r="AK115" s="2">
        <f t="shared" si="141"/>
        <v>282.53953961352687</v>
      </c>
      <c r="AL115" s="2">
        <f t="shared" si="157"/>
        <v>282.53953961352687</v>
      </c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23"/>
      <c r="BD115" s="23"/>
      <c r="BE115" s="21"/>
      <c r="BF115" s="21"/>
      <c r="BG115" s="3">
        <f t="shared" si="171"/>
        <v>282.53953961352687</v>
      </c>
      <c r="BH115" s="34">
        <f aca="true" t="shared" si="174" ref="BH115:BH125">BG115*$CN$49/10^8/(1+$H$5)^(A115-$C$2+1)</f>
        <v>5.764761609232325</v>
      </c>
      <c r="BI115" s="3">
        <f t="shared" si="158"/>
        <v>282.53953961352687</v>
      </c>
      <c r="BJ115" s="3">
        <f>BI115*$CN$40/((1+$H$5)^(A115-$C$2+1))/10^8*IF(A115&lt;$L$4,1,$H$6)</f>
        <v>91.15529294598613</v>
      </c>
      <c r="BK115" s="3">
        <f t="shared" si="159"/>
        <v>282.53953961352687</v>
      </c>
      <c r="BL115" s="3">
        <f>BK115*$CN$41/(1+$H$5)^(A115-$C$2+1)/10^8</f>
        <v>9.728035215579547</v>
      </c>
      <c r="BM115" s="21"/>
      <c r="BN115" s="21"/>
      <c r="BO115" s="21"/>
      <c r="BP115" s="21"/>
      <c r="BQ115" s="21"/>
      <c r="BR115" s="3">
        <f t="shared" si="160"/>
        <v>282.53953961352687</v>
      </c>
      <c r="BS115" s="3">
        <f>BQ115*$CN$43/(1+$H$5)^48/(1+$H$5)^(A115-8-$C$2+1)/10^8+BR115*$CN$43/(1+$H$5)^(A115-$C$2+1)/10^8</f>
        <v>1.0808928017310608</v>
      </c>
      <c r="BT115" s="21"/>
      <c r="BU115" s="3">
        <f t="shared" si="161"/>
        <v>282.53953961352687</v>
      </c>
      <c r="BV115" s="3">
        <f>BU115*$CN$45/(1+$H$5)^(A115-$C$2+1)/10^8</f>
        <v>4.5037200072127535</v>
      </c>
      <c r="BW115" s="21"/>
      <c r="BX115" s="21"/>
      <c r="BY115" s="21"/>
      <c r="BZ115" s="3">
        <f t="shared" si="162"/>
        <v>282.53953961352687</v>
      </c>
      <c r="CA115" s="3">
        <f>BY115*$CN$47/(1+$H$5)^33/(1+$H$5)^(A115-8-$C$2+1)/10^8+BZ115*$CN$47/(1+$H$5)^(A115-$C$2+1)/10^8</f>
        <v>10.448630416733588</v>
      </c>
      <c r="CB115" s="21"/>
      <c r="CC115" s="3">
        <f t="shared" si="163"/>
        <v>282.53953961352687</v>
      </c>
      <c r="CD115" s="3">
        <f>CB115*$CN$48/(1+$H$5)^15/(1+$H$5)^(A115-8-$C$2+1)/10^8+CC115*$CN$48/(1+$H$5)^(A115-$C$2+1)/10^8</f>
        <v>3.602976005770203</v>
      </c>
      <c r="CE115" s="21"/>
      <c r="CF115" s="21"/>
      <c r="CG115" s="34">
        <f t="shared" si="172"/>
        <v>0</v>
      </c>
      <c r="CH115" s="34">
        <f t="shared" si="173"/>
        <v>0</v>
      </c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</row>
    <row r="116" spans="1:174" s="15" customFormat="1" ht="14.25">
      <c r="A116" s="20">
        <f t="shared" si="170"/>
        <v>2104</v>
      </c>
      <c r="B116" s="46">
        <v>4562.703</v>
      </c>
      <c r="C116" s="19"/>
      <c r="D116" s="23"/>
      <c r="E116" s="19"/>
      <c r="F116" s="19"/>
      <c r="G116" s="19"/>
      <c r="H116" s="19"/>
      <c r="I116" s="19"/>
      <c r="J116" s="19"/>
      <c r="K116" s="19"/>
      <c r="L116" s="19"/>
      <c r="M116" s="21"/>
      <c r="N116" s="21"/>
      <c r="O116" s="19"/>
      <c r="P116" s="19"/>
      <c r="Q116" s="19"/>
      <c r="R116" s="19"/>
      <c r="S116" s="19"/>
      <c r="T116" s="19"/>
      <c r="U116" s="1">
        <f t="shared" si="165"/>
        <v>38.634216387325026</v>
      </c>
      <c r="V116" s="1">
        <f t="shared" si="166"/>
        <v>3.5119700522969843</v>
      </c>
      <c r="W116" s="1">
        <f t="shared" si="167"/>
        <v>0</v>
      </c>
      <c r="X116" s="1">
        <f t="shared" si="168"/>
        <v>240.39335317390487</v>
      </c>
      <c r="Y116" s="1">
        <f t="shared" si="169"/>
        <v>282.53953961352687</v>
      </c>
      <c r="Z116" s="20"/>
      <c r="AA116" s="1">
        <f t="shared" si="145"/>
        <v>240.39335317390487</v>
      </c>
      <c r="AB116" s="15">
        <f t="shared" si="140"/>
        <v>240.39335317390487</v>
      </c>
      <c r="AC116" s="19"/>
      <c r="AD116" s="2">
        <f t="shared" si="146"/>
        <v>38.634216387325026</v>
      </c>
      <c r="AE116" s="19"/>
      <c r="AF116" s="2">
        <f t="shared" si="147"/>
        <v>3.5119700522969843</v>
      </c>
      <c r="AG116" s="19"/>
      <c r="AH116" s="2">
        <f t="shared" si="148"/>
        <v>0</v>
      </c>
      <c r="AI116" s="2">
        <f t="shared" si="143"/>
        <v>42.146186439622014</v>
      </c>
      <c r="AJ116" s="19"/>
      <c r="AK116" s="2">
        <f t="shared" si="141"/>
        <v>282.53953961352687</v>
      </c>
      <c r="AL116" s="2">
        <f t="shared" si="157"/>
        <v>282.53953961352687</v>
      </c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23"/>
      <c r="BD116" s="23"/>
      <c r="BE116" s="21"/>
      <c r="BF116" s="21"/>
      <c r="BG116" s="3">
        <f t="shared" si="171"/>
        <v>282.53953961352687</v>
      </c>
      <c r="BH116" s="34">
        <f t="shared" si="174"/>
        <v>5.651727067874829</v>
      </c>
      <c r="BI116" s="3">
        <f t="shared" si="158"/>
        <v>282.53953961352687</v>
      </c>
      <c r="BJ116" s="3">
        <f>BI116*$CN$40/((1+$H$5)^(A116-$C$2+1))/10^8*IF(A116&lt;$L$4,1,$H$6)</f>
        <v>89.36793426077072</v>
      </c>
      <c r="BK116" s="3">
        <f t="shared" si="159"/>
        <v>282.53953961352687</v>
      </c>
      <c r="BL116" s="3">
        <f>BK116*$CN$41/(1+$H$5)^(A116-$C$2+1)/10^8</f>
        <v>9.537289427038774</v>
      </c>
      <c r="BM116" s="21"/>
      <c r="BN116" s="21"/>
      <c r="BO116" s="21"/>
      <c r="BP116" s="21"/>
      <c r="BQ116" s="21"/>
      <c r="BR116" s="3">
        <f t="shared" si="160"/>
        <v>282.53953961352687</v>
      </c>
      <c r="BS116" s="3">
        <f>BQ116*$CN$43/(1+$H$5)^48/(1+$H$5)^(A116-8-$C$2+1)/10^8+BR116*$CN$43/(1+$H$5)^(A116-$C$2+1)/10^8</f>
        <v>1.0596988252265302</v>
      </c>
      <c r="BT116" s="21"/>
      <c r="BU116" s="3">
        <f t="shared" si="161"/>
        <v>282.53953961352687</v>
      </c>
      <c r="BV116" s="3">
        <f>BU116*$CN$45/(1+$H$5)^(A116-$C$2+1)/10^8</f>
        <v>4.41541177177721</v>
      </c>
      <c r="BW116" s="21"/>
      <c r="BX116" s="21"/>
      <c r="BY116" s="21"/>
      <c r="BZ116" s="3">
        <f t="shared" si="162"/>
        <v>282.53953961352687</v>
      </c>
      <c r="CA116" s="3">
        <f>BY116*$CN$47/(1+$H$5)^33/(1+$H$5)^(A116-8-$C$2+1)/10^8+BZ116*$CN$47/(1+$H$5)^(A116-$C$2+1)/10^8</f>
        <v>10.243755310523126</v>
      </c>
      <c r="CB116" s="21"/>
      <c r="CC116" s="3">
        <f t="shared" si="163"/>
        <v>282.53953961352687</v>
      </c>
      <c r="CD116" s="3">
        <f>CB116*$CN$48/(1+$H$5)^15/(1+$H$5)^(A116-8-$C$2+1)/10^8+CC116*$CN$48/(1+$H$5)^(A116-$C$2+1)/10^8</f>
        <v>3.5323294174217676</v>
      </c>
      <c r="CE116" s="21"/>
      <c r="CF116" s="21"/>
      <c r="CG116" s="34">
        <f t="shared" si="172"/>
        <v>0</v>
      </c>
      <c r="CH116" s="34">
        <f t="shared" si="173"/>
        <v>0</v>
      </c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</row>
    <row r="117" spans="1:174" s="15" customFormat="1" ht="14.25">
      <c r="A117" s="20">
        <f t="shared" si="170"/>
        <v>2105</v>
      </c>
      <c r="B117" s="46">
        <v>4582.4265</v>
      </c>
      <c r="C117" s="19"/>
      <c r="D117" s="23"/>
      <c r="E117" s="19"/>
      <c r="F117" s="19"/>
      <c r="G117" s="19"/>
      <c r="H117" s="19"/>
      <c r="I117" s="19"/>
      <c r="J117" s="19"/>
      <c r="K117" s="19"/>
      <c r="L117" s="19"/>
      <c r="M117" s="21"/>
      <c r="N117" s="21"/>
      <c r="O117" s="19"/>
      <c r="P117" s="19"/>
      <c r="Q117" s="19"/>
      <c r="R117" s="19"/>
      <c r="S117" s="19"/>
      <c r="T117" s="19"/>
      <c r="U117" s="1">
        <f t="shared" si="165"/>
        <v>38.74784200417771</v>
      </c>
      <c r="V117" s="1">
        <f t="shared" si="166"/>
        <v>7.208396737940358</v>
      </c>
      <c r="W117" s="1">
        <f t="shared" si="167"/>
        <v>0.28563818579251166</v>
      </c>
      <c r="X117" s="1">
        <f t="shared" si="168"/>
        <v>263.75434626049514</v>
      </c>
      <c r="Y117" s="1">
        <f t="shared" si="169"/>
        <v>309.99622318840574</v>
      </c>
      <c r="Z117" s="20"/>
      <c r="AA117" s="1">
        <f t="shared" si="145"/>
        <v>263.75434626049514</v>
      </c>
      <c r="AB117" s="15">
        <f t="shared" si="140"/>
        <v>263.75434626049514</v>
      </c>
      <c r="AC117" s="19"/>
      <c r="AD117" s="2">
        <f t="shared" si="146"/>
        <v>38.74784200417771</v>
      </c>
      <c r="AE117" s="19"/>
      <c r="AF117" s="2">
        <f t="shared" si="147"/>
        <v>7.208396737940358</v>
      </c>
      <c r="AG117" s="19"/>
      <c r="AH117" s="2">
        <f t="shared" si="148"/>
        <v>0.28563818579251166</v>
      </c>
      <c r="AI117" s="2">
        <f>AD117+AF117+AH117</f>
        <v>46.24187692791059</v>
      </c>
      <c r="AJ117" s="19"/>
      <c r="AK117" s="2">
        <f t="shared" si="141"/>
        <v>309.9962231884057</v>
      </c>
      <c r="AL117" s="2">
        <f>AB117+AI117</f>
        <v>309.99622318840574</v>
      </c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23"/>
      <c r="BD117" s="23"/>
      <c r="BE117" s="21"/>
      <c r="BF117" s="21"/>
      <c r="BG117" s="3">
        <f t="shared" si="171"/>
        <v>309.99622318840574</v>
      </c>
      <c r="BH117" s="34">
        <f t="shared" si="174"/>
        <v>6.0793644362248</v>
      </c>
      <c r="BI117" s="3">
        <f t="shared" si="158"/>
        <v>309.99622318840574</v>
      </c>
      <c r="BJ117" s="3">
        <f>BI117*$CN$40/((1+$H$5)^(A117-$C$2+1))/10^8*IF(A117&lt;$L$4,1,$H$6)</f>
        <v>96.12995014780466</v>
      </c>
      <c r="BK117" s="3">
        <f t="shared" si="159"/>
        <v>309.99622318840574</v>
      </c>
      <c r="BL117" s="3">
        <f>BK117*$CN$41/(1+$H$5)^(A117-$C$2+1)/10^8</f>
        <v>10.25892748612935</v>
      </c>
      <c r="BM117" s="21"/>
      <c r="BN117" s="21"/>
      <c r="BO117" s="21"/>
      <c r="BP117" s="21"/>
      <c r="BQ117" s="21"/>
      <c r="BR117" s="3">
        <f>AK117</f>
        <v>309.9962231884057</v>
      </c>
      <c r="BS117" s="3">
        <f>BQ117*$CN$43/(1+$H$5)^48/(1+$H$5)^(A117-8-$C$2+1)/10^8+BR117*$CN$43/(1+$H$5)^(A117-$C$2+1)/10^8</f>
        <v>1.1398808317921496</v>
      </c>
      <c r="BT117" s="21"/>
      <c r="BU117" s="3">
        <f t="shared" si="161"/>
        <v>309.99622318840574</v>
      </c>
      <c r="BV117" s="3">
        <f>BU117*$CN$45/(1+$H$5)^(A117-$C$2+1)/10^8</f>
        <v>4.749503465800625</v>
      </c>
      <c r="BW117" s="21"/>
      <c r="BX117" s="21"/>
      <c r="BY117" s="21"/>
      <c r="BZ117" s="3">
        <f t="shared" si="162"/>
        <v>309.9962231884057</v>
      </c>
      <c r="CA117" s="3">
        <f>BY117*$CN$47/(1+$H$5)^33/(1+$H$5)^(A117-8-$C$2+1)/10^8+BZ117*$CN$47/(1+$H$5)^(A117-$C$2+1)/10^8</f>
        <v>11.018848040657446</v>
      </c>
      <c r="CB117" s="21"/>
      <c r="CC117" s="3">
        <f t="shared" si="163"/>
        <v>309.9962231884057</v>
      </c>
      <c r="CD117" s="3">
        <f>CB117*$CN$48/(1+$H$5)^15/(1+$H$5)^(A117-8-$C$2+1)/10^8+CC117*$CN$48/(1+$H$5)^(A117-$C$2+1)/10^8</f>
        <v>3.799602772640499</v>
      </c>
      <c r="CE117" s="21"/>
      <c r="CF117" s="21"/>
      <c r="CG117" s="34">
        <f t="shared" si="172"/>
        <v>0</v>
      </c>
      <c r="CH117" s="34">
        <f t="shared" si="173"/>
        <v>0</v>
      </c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</row>
    <row r="118" spans="1:174" s="15" customFormat="1" ht="14.25">
      <c r="A118" s="20">
        <f t="shared" si="170"/>
        <v>2106</v>
      </c>
      <c r="B118" s="46">
        <v>4582.4265</v>
      </c>
      <c r="C118" s="19"/>
      <c r="D118" s="23"/>
      <c r="E118" s="19"/>
      <c r="F118" s="19"/>
      <c r="G118" s="19"/>
      <c r="H118" s="19"/>
      <c r="I118" s="19"/>
      <c r="J118" s="19"/>
      <c r="K118" s="19"/>
      <c r="L118" s="19"/>
      <c r="M118" s="21"/>
      <c r="N118" s="21"/>
      <c r="O118" s="19"/>
      <c r="P118" s="19"/>
      <c r="Q118" s="19"/>
      <c r="R118" s="19"/>
      <c r="S118" s="19"/>
      <c r="T118" s="19"/>
      <c r="U118" s="1">
        <f t="shared" si="165"/>
        <v>0</v>
      </c>
      <c r="V118" s="1">
        <f t="shared" si="166"/>
        <v>0</v>
      </c>
      <c r="W118" s="1">
        <f t="shared" si="167"/>
        <v>0</v>
      </c>
      <c r="X118" s="1">
        <f t="shared" si="168"/>
        <v>0</v>
      </c>
      <c r="Y118" s="1">
        <f t="shared" si="169"/>
        <v>0</v>
      </c>
      <c r="Z118" s="20"/>
      <c r="AA118" s="20"/>
      <c r="AB118" s="20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23"/>
      <c r="BD118" s="23"/>
      <c r="BE118" s="21"/>
      <c r="BF118" s="21"/>
      <c r="BG118" s="3">
        <f aca="true" t="shared" si="175" ref="BG118:BG125">Y118</f>
        <v>0</v>
      </c>
      <c r="BH118" s="34">
        <f t="shared" si="174"/>
        <v>0</v>
      </c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34">
        <f t="shared" si="172"/>
        <v>0</v>
      </c>
      <c r="CH118" s="34">
        <f t="shared" si="173"/>
        <v>0</v>
      </c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</row>
    <row r="119" spans="1:174" s="15" customFormat="1" ht="14.25">
      <c r="A119" s="20">
        <f t="shared" si="170"/>
        <v>2107</v>
      </c>
      <c r="B119" s="46">
        <v>4602.15</v>
      </c>
      <c r="C119" s="19"/>
      <c r="D119" s="23"/>
      <c r="E119" s="19"/>
      <c r="F119" s="19"/>
      <c r="G119" s="19"/>
      <c r="H119" s="19"/>
      <c r="I119" s="19"/>
      <c r="J119" s="19"/>
      <c r="K119" s="19"/>
      <c r="L119" s="19"/>
      <c r="M119" s="21"/>
      <c r="N119" s="21"/>
      <c r="O119" s="19"/>
      <c r="P119" s="19"/>
      <c r="Q119" s="19"/>
      <c r="R119" s="19"/>
      <c r="S119" s="19"/>
      <c r="T119" s="19"/>
      <c r="U119" s="1">
        <f t="shared" si="165"/>
        <v>0</v>
      </c>
      <c r="V119" s="1">
        <f t="shared" si="166"/>
        <v>0</v>
      </c>
      <c r="W119" s="1">
        <f t="shared" si="167"/>
        <v>0</v>
      </c>
      <c r="X119" s="1">
        <f t="shared" si="168"/>
        <v>0</v>
      </c>
      <c r="Y119" s="1">
        <f t="shared" si="169"/>
        <v>0</v>
      </c>
      <c r="Z119" s="20"/>
      <c r="AA119" s="20"/>
      <c r="AB119" s="20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23"/>
      <c r="BD119" s="23"/>
      <c r="BE119" s="21"/>
      <c r="BF119" s="21"/>
      <c r="BG119" s="3">
        <f t="shared" si="175"/>
        <v>0</v>
      </c>
      <c r="BH119" s="34">
        <f t="shared" si="174"/>
        <v>0</v>
      </c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34">
        <f t="shared" si="172"/>
        <v>0</v>
      </c>
      <c r="CH119" s="34">
        <f t="shared" si="173"/>
        <v>0</v>
      </c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</row>
    <row r="120" spans="1:174" s="15" customFormat="1" ht="14.25">
      <c r="A120" s="20">
        <f t="shared" si="170"/>
        <v>2108</v>
      </c>
      <c r="B120" s="46">
        <v>4602.15</v>
      </c>
      <c r="C120" s="19"/>
      <c r="D120" s="23"/>
      <c r="E120" s="19"/>
      <c r="F120" s="19"/>
      <c r="G120" s="19"/>
      <c r="H120" s="19"/>
      <c r="I120" s="19"/>
      <c r="J120" s="19"/>
      <c r="K120" s="19"/>
      <c r="L120" s="19"/>
      <c r="M120" s="21"/>
      <c r="N120" s="21"/>
      <c r="O120" s="19"/>
      <c r="P120" s="19"/>
      <c r="Q120" s="19"/>
      <c r="R120" s="19"/>
      <c r="S120" s="19"/>
      <c r="T120" s="19"/>
      <c r="U120" s="1">
        <f t="shared" si="165"/>
        <v>0</v>
      </c>
      <c r="V120" s="1">
        <f t="shared" si="166"/>
        <v>0</v>
      </c>
      <c r="W120" s="1">
        <f t="shared" si="167"/>
        <v>0</v>
      </c>
      <c r="X120" s="1">
        <f t="shared" si="168"/>
        <v>0</v>
      </c>
      <c r="Y120" s="1">
        <f t="shared" si="169"/>
        <v>0</v>
      </c>
      <c r="Z120" s="20"/>
      <c r="AA120" s="20"/>
      <c r="AB120" s="20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23"/>
      <c r="BD120" s="23"/>
      <c r="BE120" s="21"/>
      <c r="BF120" s="21"/>
      <c r="BG120" s="3">
        <f t="shared" si="175"/>
        <v>0</v>
      </c>
      <c r="BH120" s="34">
        <f t="shared" si="174"/>
        <v>0</v>
      </c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34">
        <f t="shared" si="172"/>
        <v>0</v>
      </c>
      <c r="CH120" s="34">
        <f t="shared" si="173"/>
        <v>0</v>
      </c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</row>
    <row r="121" spans="1:174" s="15" customFormat="1" ht="14.25">
      <c r="A121" s="20">
        <f t="shared" si="170"/>
        <v>2109</v>
      </c>
      <c r="B121" s="46">
        <v>4608.7245</v>
      </c>
      <c r="C121" s="19"/>
      <c r="D121" s="23"/>
      <c r="E121" s="19"/>
      <c r="F121" s="19"/>
      <c r="G121" s="19"/>
      <c r="H121" s="19"/>
      <c r="I121" s="19"/>
      <c r="J121" s="19"/>
      <c r="K121" s="19"/>
      <c r="L121" s="19"/>
      <c r="M121" s="21"/>
      <c r="N121" s="21"/>
      <c r="O121" s="19"/>
      <c r="P121" s="19"/>
      <c r="Q121" s="19"/>
      <c r="R121" s="19"/>
      <c r="S121" s="19"/>
      <c r="T121" s="19"/>
      <c r="U121" s="1">
        <f t="shared" si="165"/>
        <v>0</v>
      </c>
      <c r="V121" s="1">
        <f t="shared" si="166"/>
        <v>0</v>
      </c>
      <c r="W121" s="1">
        <f t="shared" si="167"/>
        <v>0</v>
      </c>
      <c r="X121" s="1">
        <f t="shared" si="168"/>
        <v>0</v>
      </c>
      <c r="Y121" s="1">
        <f t="shared" si="169"/>
        <v>0</v>
      </c>
      <c r="Z121" s="20"/>
      <c r="AA121" s="20"/>
      <c r="AB121" s="20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23"/>
      <c r="BD121" s="23"/>
      <c r="BE121" s="21"/>
      <c r="BF121" s="21"/>
      <c r="BG121" s="3">
        <f t="shared" si="175"/>
        <v>0</v>
      </c>
      <c r="BH121" s="34">
        <f t="shared" si="174"/>
        <v>0</v>
      </c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34">
        <f t="shared" si="172"/>
        <v>0</v>
      </c>
      <c r="CH121" s="34">
        <f t="shared" si="173"/>
        <v>0</v>
      </c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</row>
    <row r="122" spans="1:174" s="15" customFormat="1" ht="14.25">
      <c r="A122" s="20">
        <f t="shared" si="170"/>
        <v>2110</v>
      </c>
      <c r="B122" s="46">
        <v>4608.7245</v>
      </c>
      <c r="C122" s="19"/>
      <c r="D122" s="23"/>
      <c r="E122" s="19"/>
      <c r="F122" s="19"/>
      <c r="G122" s="19"/>
      <c r="H122" s="19"/>
      <c r="I122" s="19"/>
      <c r="J122" s="19"/>
      <c r="K122" s="19"/>
      <c r="L122" s="19"/>
      <c r="M122" s="21"/>
      <c r="N122" s="21"/>
      <c r="O122" s="19"/>
      <c r="P122" s="19"/>
      <c r="Q122" s="19"/>
      <c r="R122" s="19"/>
      <c r="S122" s="19"/>
      <c r="T122" s="19"/>
      <c r="U122" s="1">
        <f t="shared" si="165"/>
        <v>0</v>
      </c>
      <c r="V122" s="1">
        <f t="shared" si="166"/>
        <v>0</v>
      </c>
      <c r="W122" s="1">
        <f t="shared" si="167"/>
        <v>0</v>
      </c>
      <c r="X122" s="1">
        <f t="shared" si="168"/>
        <v>0</v>
      </c>
      <c r="Y122" s="1">
        <f t="shared" si="169"/>
        <v>0</v>
      </c>
      <c r="Z122" s="20"/>
      <c r="AA122" s="20"/>
      <c r="AB122" s="20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23"/>
      <c r="BD122" s="23"/>
      <c r="BE122" s="21"/>
      <c r="BF122" s="21"/>
      <c r="BG122" s="3">
        <f t="shared" si="175"/>
        <v>0</v>
      </c>
      <c r="BH122" s="34">
        <f t="shared" si="174"/>
        <v>0</v>
      </c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34">
        <f t="shared" si="172"/>
        <v>0</v>
      </c>
      <c r="CH122" s="34">
        <f t="shared" si="173"/>
        <v>0</v>
      </c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</row>
    <row r="123" spans="1:174" s="15" customFormat="1" ht="14.25">
      <c r="A123" s="20">
        <f t="shared" si="170"/>
        <v>2111</v>
      </c>
      <c r="B123" s="46">
        <v>4608.7245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1"/>
      <c r="N123" s="21"/>
      <c r="O123" s="19"/>
      <c r="P123" s="19"/>
      <c r="Q123" s="19"/>
      <c r="R123" s="19"/>
      <c r="S123" s="19"/>
      <c r="T123" s="19"/>
      <c r="U123" s="1">
        <f aca="true" t="shared" si="176" ref="U123:Y125">IF($L$3&gt;0,P83,P75)</f>
        <v>0</v>
      </c>
      <c r="V123" s="1">
        <f t="shared" si="176"/>
        <v>0</v>
      </c>
      <c r="W123" s="1">
        <f t="shared" si="176"/>
        <v>0</v>
      </c>
      <c r="X123" s="1">
        <f t="shared" si="176"/>
        <v>0</v>
      </c>
      <c r="Y123" s="1">
        <f t="shared" si="176"/>
        <v>0</v>
      </c>
      <c r="Z123" s="20"/>
      <c r="AA123" s="20"/>
      <c r="AB123" s="20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23"/>
      <c r="BD123" s="23"/>
      <c r="BE123" s="21"/>
      <c r="BF123" s="21"/>
      <c r="BG123" s="3">
        <f t="shared" si="175"/>
        <v>0</v>
      </c>
      <c r="BH123" s="34">
        <f t="shared" si="174"/>
        <v>0</v>
      </c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34">
        <f t="shared" si="172"/>
        <v>0</v>
      </c>
      <c r="CH123" s="34">
        <f t="shared" si="173"/>
        <v>0</v>
      </c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</row>
    <row r="124" spans="1:174" s="15" customFormat="1" ht="14.25">
      <c r="A124" s="20">
        <f t="shared" si="170"/>
        <v>2112</v>
      </c>
      <c r="B124" s="46">
        <v>4608.7245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1"/>
      <c r="N124" s="21"/>
      <c r="O124" s="19"/>
      <c r="P124" s="19"/>
      <c r="Q124" s="19"/>
      <c r="R124" s="19"/>
      <c r="S124" s="19"/>
      <c r="T124" s="19"/>
      <c r="U124" s="1">
        <f t="shared" si="176"/>
        <v>0</v>
      </c>
      <c r="V124" s="1">
        <f t="shared" si="176"/>
        <v>0</v>
      </c>
      <c r="W124" s="1">
        <f t="shared" si="176"/>
        <v>0</v>
      </c>
      <c r="X124" s="1">
        <f t="shared" si="176"/>
        <v>0</v>
      </c>
      <c r="Y124" s="1">
        <f t="shared" si="176"/>
        <v>0</v>
      </c>
      <c r="Z124" s="20"/>
      <c r="AA124" s="20"/>
      <c r="AB124" s="20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23"/>
      <c r="BD124" s="23"/>
      <c r="BE124" s="21"/>
      <c r="BF124" s="21"/>
      <c r="BG124" s="3">
        <f t="shared" si="175"/>
        <v>0</v>
      </c>
      <c r="BH124" s="34">
        <f t="shared" si="174"/>
        <v>0</v>
      </c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34">
        <f t="shared" si="172"/>
        <v>0</v>
      </c>
      <c r="CH124" s="34">
        <f t="shared" si="173"/>
        <v>0</v>
      </c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</row>
    <row r="125" spans="1:174" s="15" customFormat="1" ht="14.25">
      <c r="A125" s="20">
        <f t="shared" si="170"/>
        <v>2113</v>
      </c>
      <c r="B125" s="46">
        <v>4608.7245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1"/>
      <c r="N125" s="21"/>
      <c r="O125" s="19"/>
      <c r="P125" s="19"/>
      <c r="Q125" s="19"/>
      <c r="R125" s="19"/>
      <c r="S125" s="19"/>
      <c r="T125" s="19"/>
      <c r="U125" s="1">
        <f t="shared" si="176"/>
        <v>0</v>
      </c>
      <c r="V125" s="1">
        <f t="shared" si="176"/>
        <v>0</v>
      </c>
      <c r="W125" s="1">
        <f t="shared" si="176"/>
        <v>0</v>
      </c>
      <c r="X125" s="1">
        <f t="shared" si="176"/>
        <v>0</v>
      </c>
      <c r="Y125" s="1">
        <f t="shared" si="176"/>
        <v>0</v>
      </c>
      <c r="Z125" s="20"/>
      <c r="AA125" s="20"/>
      <c r="AB125" s="20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23"/>
      <c r="BD125" s="23"/>
      <c r="BE125" s="21"/>
      <c r="BF125" s="21"/>
      <c r="BG125" s="3">
        <f t="shared" si="175"/>
        <v>0</v>
      </c>
      <c r="BH125" s="34">
        <f t="shared" si="174"/>
        <v>0</v>
      </c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34">
        <f t="shared" si="172"/>
        <v>0</v>
      </c>
      <c r="CH125" s="34">
        <f t="shared" si="173"/>
        <v>0</v>
      </c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</row>
    <row r="126" spans="1:174" s="15" customFormat="1" ht="14.25">
      <c r="A126" s="20">
        <f t="shared" si="170"/>
        <v>2114</v>
      </c>
      <c r="B126" s="46">
        <v>4608.7245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1"/>
      <c r="N126" s="21"/>
      <c r="O126" s="19"/>
      <c r="P126" s="19"/>
      <c r="Q126" s="19"/>
      <c r="R126" s="19"/>
      <c r="S126" s="19"/>
      <c r="T126" s="19"/>
      <c r="U126" s="20"/>
      <c r="V126" s="20"/>
      <c r="W126" s="20"/>
      <c r="X126" s="20"/>
      <c r="Y126" s="20"/>
      <c r="Z126" s="20"/>
      <c r="AA126" s="20"/>
      <c r="AB126" s="20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23"/>
      <c r="BD126" s="23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</row>
    <row r="127" spans="1:174" s="15" customFormat="1" ht="14.25">
      <c r="A127" s="20">
        <f t="shared" si="170"/>
        <v>2115</v>
      </c>
      <c r="B127" s="46">
        <v>4608.7245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1"/>
      <c r="N127" s="21"/>
      <c r="O127" s="19"/>
      <c r="P127" s="19"/>
      <c r="Q127" s="19"/>
      <c r="R127" s="19"/>
      <c r="S127" s="19"/>
      <c r="T127" s="19"/>
      <c r="U127" s="20"/>
      <c r="V127" s="20"/>
      <c r="W127" s="20"/>
      <c r="X127" s="20"/>
      <c r="Y127" s="20"/>
      <c r="Z127" s="20"/>
      <c r="AA127" s="20"/>
      <c r="AB127" s="20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23"/>
      <c r="BD127" s="23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</row>
    <row r="128" spans="1:174" s="15" customFormat="1" ht="14.25">
      <c r="A128" s="20">
        <f t="shared" si="170"/>
        <v>2116</v>
      </c>
      <c r="B128" s="46">
        <v>4608.7245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1"/>
      <c r="N128" s="21"/>
      <c r="O128" s="19"/>
      <c r="P128" s="19"/>
      <c r="Q128" s="19"/>
      <c r="R128" s="19"/>
      <c r="S128" s="19"/>
      <c r="T128" s="19"/>
      <c r="U128" s="20"/>
      <c r="V128" s="20"/>
      <c r="W128" s="20"/>
      <c r="X128" s="20"/>
      <c r="Y128" s="20"/>
      <c r="Z128" s="20"/>
      <c r="AA128" s="20"/>
      <c r="AB128" s="20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23"/>
      <c r="BD128" s="23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</row>
    <row r="129" spans="1:174" s="15" customFormat="1" ht="14.25">
      <c r="A129" s="20">
        <f t="shared" si="170"/>
        <v>2117</v>
      </c>
      <c r="B129" s="46">
        <v>4608.7245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1"/>
      <c r="N129" s="21"/>
      <c r="O129" s="19"/>
      <c r="P129" s="19"/>
      <c r="Q129" s="19"/>
      <c r="R129" s="19"/>
      <c r="S129" s="19"/>
      <c r="T129" s="19"/>
      <c r="U129" s="20"/>
      <c r="V129" s="20"/>
      <c r="W129" s="20"/>
      <c r="X129" s="20"/>
      <c r="Y129" s="20"/>
      <c r="Z129" s="20"/>
      <c r="AA129" s="20"/>
      <c r="AB129" s="20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23"/>
      <c r="BD129" s="23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</row>
    <row r="130" spans="1:174" s="15" customFormat="1" ht="14.25">
      <c r="A130" s="20">
        <f t="shared" si="170"/>
        <v>2118</v>
      </c>
      <c r="B130" s="46">
        <v>4608.7245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1"/>
      <c r="N130" s="21"/>
      <c r="O130" s="19"/>
      <c r="P130" s="19"/>
      <c r="Q130" s="19"/>
      <c r="R130" s="19"/>
      <c r="S130" s="19"/>
      <c r="T130" s="19"/>
      <c r="U130" s="20"/>
      <c r="V130" s="20"/>
      <c r="W130" s="20"/>
      <c r="X130" s="20"/>
      <c r="Y130" s="20"/>
      <c r="Z130" s="20"/>
      <c r="AA130" s="20"/>
      <c r="AB130" s="20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23"/>
      <c r="BD130" s="23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</row>
    <row r="131" spans="1:174" s="15" customFormat="1" ht="14.25">
      <c r="A131" s="20">
        <f t="shared" si="170"/>
        <v>2119</v>
      </c>
      <c r="B131" s="46">
        <v>4608.7245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21"/>
      <c r="N131" s="43"/>
      <c r="O131" s="19"/>
      <c r="P131" s="19"/>
      <c r="Q131" s="19"/>
      <c r="R131" s="19"/>
      <c r="S131" s="19"/>
      <c r="T131" s="19"/>
      <c r="U131" s="20"/>
      <c r="V131" s="20"/>
      <c r="W131" s="20"/>
      <c r="X131" s="20"/>
      <c r="Y131" s="20"/>
      <c r="Z131" s="20"/>
      <c r="AA131" s="20"/>
      <c r="AB131" s="20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23"/>
      <c r="BD131" s="23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</row>
    <row r="132" spans="1:174" s="15" customFormat="1" ht="15" thickBot="1">
      <c r="A132" s="20">
        <f t="shared" si="170"/>
        <v>2120</v>
      </c>
      <c r="B132" s="48">
        <v>4608.7245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21"/>
      <c r="N132" s="43"/>
      <c r="O132" s="19"/>
      <c r="P132" s="19"/>
      <c r="Q132" s="19"/>
      <c r="R132" s="19"/>
      <c r="S132" s="19"/>
      <c r="T132" s="19"/>
      <c r="U132" s="20"/>
      <c r="V132" s="20"/>
      <c r="W132" s="20"/>
      <c r="X132" s="20"/>
      <c r="Y132" s="20"/>
      <c r="Z132" s="20"/>
      <c r="AA132" s="20"/>
      <c r="AB132" s="20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23"/>
      <c r="BD132" s="23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</row>
    <row r="133" spans="28:86" ht="14.25">
      <c r="AB133" s="2"/>
      <c r="BB133" s="39">
        <f>SUM(BB14:BB132)/SUM(BA14:BA132)</f>
        <v>0.5663099106934044</v>
      </c>
      <c r="BC133" s="62">
        <f>SUM(BC14:BC132)</f>
        <v>19273.610714975854</v>
      </c>
      <c r="BD133" s="39">
        <f>SUM(BD14:BD132)/SUM(BA14:BA132)</f>
        <v>0.011477082059746554</v>
      </c>
      <c r="BE133" s="63">
        <f>SUM(BE15:BE132)</f>
        <v>47540.229353140094</v>
      </c>
      <c r="BF133" s="27">
        <f>SUM(BF15:BF132)/SUM(BA14:BA132)</f>
        <v>0.03316324740703093</v>
      </c>
      <c r="BG133" s="63">
        <f>SUM(BG14:BG132)</f>
        <v>19273.610714975854</v>
      </c>
      <c r="BH133" s="27">
        <f>SUM(BH14:BH132)/SUM(BA14:BA132)</f>
        <v>0.005197860459153647</v>
      </c>
      <c r="BI133" s="63">
        <f aca="true" t="shared" si="177" ref="BI133:BR133">SUM(BI17:BI132)</f>
        <v>66813.84006811597</v>
      </c>
      <c r="BJ133" s="27">
        <f>SUM(BJ17:BJ132)/SUM(BA14:BA132)</f>
        <v>0.5302187216939088</v>
      </c>
      <c r="BK133" s="63">
        <f t="shared" si="177"/>
        <v>66813.84006811597</v>
      </c>
      <c r="BL133" s="27">
        <f>SUM(BL17:BL132)/SUM(BA14:BA132)</f>
        <v>0.05658460666298633</v>
      </c>
      <c r="BM133" s="63">
        <f t="shared" si="177"/>
        <v>6445.5</v>
      </c>
      <c r="BN133" s="27">
        <f>SUM(BN17:BN132)/SUM(BA14:BA132)</f>
        <v>0.06540706580212753</v>
      </c>
      <c r="BO133" s="63">
        <f t="shared" si="177"/>
        <v>47540.229353140094</v>
      </c>
      <c r="BP133" s="27">
        <f>SUM(BP17:BP132)/SUM(BA14:BA132)</f>
        <v>0.029065632641243656</v>
      </c>
      <c r="BQ133" s="63">
        <f>SUM(BQ17:BQ132)</f>
        <v>47540.229353140094</v>
      </c>
      <c r="BR133" s="63">
        <f t="shared" si="177"/>
        <v>19273.610714975854</v>
      </c>
      <c r="BS133" s="27">
        <f>SUM(BS17:BS132)/SUM(BA14:BA132)</f>
        <v>0.0033806152539852218</v>
      </c>
      <c r="BT133" s="27">
        <f>SUM(BT14:BT132)/SUM(BA14:BA132)</f>
        <v>0.12476683937823829</v>
      </c>
      <c r="BU133" s="63">
        <f aca="true" t="shared" si="178" ref="BU133:CE133">SUM(BU17:BU132)</f>
        <v>66813.84006811597</v>
      </c>
      <c r="BV133" s="27">
        <f>SUM(BV17:BV132)/SUM(BA14:BA132)</f>
        <v>0.02619657715878998</v>
      </c>
      <c r="BW133" s="63">
        <f t="shared" si="178"/>
        <v>47540.229353140094</v>
      </c>
      <c r="BX133" s="27">
        <f>SUM(BX17:BX132)/SUM(BA14:BA132)</f>
        <v>0.019507757951616293</v>
      </c>
      <c r="BY133" s="63">
        <f t="shared" si="178"/>
        <v>47540.229353140094</v>
      </c>
      <c r="BZ133" s="63">
        <f t="shared" si="178"/>
        <v>19273.610714975854</v>
      </c>
      <c r="CA133" s="27">
        <f>SUM(CA17:CA132)/SUM(BA14:BA132)</f>
        <v>0.04072354149275338</v>
      </c>
      <c r="CB133" s="63">
        <f>SUM(CB17:CB132)</f>
        <v>47540.229353140094</v>
      </c>
      <c r="CC133" s="63">
        <f>SUM(CC17:CC132)</f>
        <v>19273.610714975854</v>
      </c>
      <c r="CD133" s="27">
        <f>SUM(CD17:CD132)/SUM(BA14:BA132)</f>
        <v>0.018665063843232653</v>
      </c>
      <c r="CE133" s="63">
        <f t="shared" si="178"/>
        <v>19273.610714975854</v>
      </c>
      <c r="CF133" s="27">
        <f>SUM(CF17:CF132)/SUM(BA14:BA132)</f>
        <v>0.02649046612750128</v>
      </c>
      <c r="CG133" s="63">
        <f>SUM(CG17:CG132)/SUM(BA14:BA132)</f>
        <v>0</v>
      </c>
      <c r="CH133" s="63">
        <f>SUM(CH17:CH132)/SUM(BA14:BA132)</f>
        <v>0</v>
      </c>
    </row>
    <row r="134" spans="26:174" s="39" customFormat="1" ht="14.25">
      <c r="Z134" s="125"/>
      <c r="AA134" s="125"/>
      <c r="AB134" s="126"/>
      <c r="AI134" s="125"/>
      <c r="AJ134" s="125"/>
      <c r="AK134" s="125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27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J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</row>
    <row r="135" spans="28:174" s="2" customFormat="1" ht="14.25">
      <c r="AB135" s="1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0"/>
      <c r="BQ135" s="4"/>
      <c r="BR135" s="4"/>
      <c r="BS135" s="4"/>
      <c r="BT135" s="63"/>
      <c r="BU135" s="63"/>
      <c r="BW135" s="4"/>
      <c r="BX135" s="4"/>
      <c r="BY135" s="4"/>
      <c r="BZ135" s="4"/>
      <c r="CA135" s="4"/>
      <c r="CB135" s="4"/>
      <c r="CC135" s="4"/>
      <c r="CD135" s="4"/>
      <c r="CE135" s="4"/>
      <c r="CF135" s="40"/>
      <c r="CJ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</row>
    <row r="136" spans="25:73" ht="14.25">
      <c r="Y136" s="67"/>
      <c r="AK136" s="39"/>
      <c r="AL136" s="39"/>
      <c r="AM136" s="39"/>
      <c r="BT136" s="61"/>
      <c r="BU136" s="40"/>
    </row>
    <row r="137" spans="37:86" ht="14.25">
      <c r="AK137" s="39"/>
      <c r="AL137" s="39"/>
      <c r="AM137" s="39"/>
      <c r="BT137" s="27"/>
      <c r="CH137" s="27"/>
    </row>
    <row r="138" spans="37:39" ht="14.25">
      <c r="AK138" s="39"/>
      <c r="AL138" s="39"/>
      <c r="AM138" s="39"/>
    </row>
  </sheetData>
  <printOptions/>
  <pageMargins left="0.7874015748031497" right="0.5905511811023623" top="0.3937007874015748" bottom="0.1968503937007874" header="0.5118110236220472" footer="0.31496062992125984"/>
  <pageSetup fitToWidth="2" horizontalDpi="600" verticalDpi="600" orientation="portrait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情報管理課</cp:lastModifiedBy>
  <cp:lastPrinted>2004-10-12T14:25:11Z</cp:lastPrinted>
  <dcterms:created xsi:type="dcterms:W3CDTF">2004-08-25T10:26:05Z</dcterms:created>
  <dcterms:modified xsi:type="dcterms:W3CDTF">2004-10-29T07:50:23Z</dcterms:modified>
  <cp:category/>
  <cp:version/>
  <cp:contentType/>
  <cp:contentStatus/>
</cp:coreProperties>
</file>